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Shushunov.SS\Desktop\ДНС Сити\1. Объекты\ОКС 12.2\9.4 Внутренняя отделка\Формы КП\"/>
    </mc:Choice>
  </mc:AlternateContent>
  <xr:revisionPtr revIDLastSave="0" documentId="13_ncr:1_{EFC2B1DC-637B-4B91-8A0E-F704F85A062D}" xr6:coauthVersionLast="45" xr6:coauthVersionMax="47" xr10:uidLastSave="{00000000-0000-0000-0000-000000000000}"/>
  <bookViews>
    <workbookView xWindow="-120" yWindow="-120" windowWidth="29040" windowHeight="15840" xr2:uid="{00000000-000D-0000-FFFF-FFFF00000000}"/>
  </bookViews>
  <sheets>
    <sheet name="Форма КП" sheetId="1" r:id="rId1"/>
    <sheet name="ЛСР №1" sheetId="3" r:id="rId2"/>
    <sheet name="Ведомость ДМ" sheetId="5" r:id="rId3"/>
    <sheet name="ГПР" sheetId="8" r:id="rId4"/>
    <sheet name="Замечания-предложения к РД" sheetId="6" r:id="rId5"/>
  </sheets>
  <definedNames>
    <definedName name="_xlnm._FilterDatabase" localSheetId="2" hidden="1">'Ведомость ДМ'!$B$5:$E$5</definedName>
    <definedName name="_xlnm._FilterDatabase" localSheetId="1" hidden="1">'ЛСР №1'!$A$14:$S$160</definedName>
    <definedName name="_xlnm._FilterDatabase" localSheetId="0" hidden="1">'Форма КП'!$A$23:$I$40</definedName>
    <definedName name="_xlnm.Print_Area" localSheetId="2">'Ведомость ДМ'!$A$1:$F$22</definedName>
    <definedName name="_xlnm.Print_Area" localSheetId="0">'Форма КП'!$A$3:$G$75</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P152" i="3" l="1"/>
  <c r="P149" i="3"/>
  <c r="P143" i="3"/>
  <c r="P140" i="3"/>
  <c r="P134" i="3"/>
  <c r="P131" i="3"/>
  <c r="P125" i="3"/>
  <c r="P122" i="3"/>
  <c r="P116" i="3"/>
  <c r="P113" i="3"/>
  <c r="P107" i="3"/>
  <c r="P104" i="3"/>
  <c r="P98" i="3"/>
  <c r="P95" i="3"/>
  <c r="P89" i="3"/>
  <c r="P86" i="3"/>
  <c r="P80" i="3"/>
  <c r="P77" i="3"/>
  <c r="P71" i="3"/>
  <c r="P68" i="3"/>
  <c r="P62" i="3"/>
  <c r="P59" i="3"/>
  <c r="P51" i="3"/>
  <c r="P48" i="3"/>
  <c r="P45" i="3"/>
  <c r="P41" i="3"/>
  <c r="P40" i="3"/>
  <c r="P39" i="3"/>
  <c r="P34" i="3"/>
  <c r="P31" i="3"/>
  <c r="P28" i="3"/>
  <c r="P25" i="3"/>
  <c r="P21" i="3"/>
  <c r="P20" i="3"/>
  <c r="P154" i="3"/>
  <c r="R154" i="3" s="1"/>
  <c r="P151" i="3"/>
  <c r="R151" i="3" s="1"/>
  <c r="P148" i="3"/>
  <c r="R148" i="3" s="1"/>
  <c r="P145" i="3"/>
  <c r="R145" i="3" s="1"/>
  <c r="P142" i="3"/>
  <c r="R142" i="3" s="1"/>
  <c r="P139" i="3"/>
  <c r="R139" i="3" s="1"/>
  <c r="P136" i="3"/>
  <c r="R136" i="3" s="1"/>
  <c r="P133" i="3"/>
  <c r="R133" i="3" s="1"/>
  <c r="P130" i="3"/>
  <c r="R130" i="3" s="1"/>
  <c r="P127" i="3"/>
  <c r="R127" i="3" s="1"/>
  <c r="P124" i="3"/>
  <c r="R124" i="3" s="1"/>
  <c r="P121" i="3"/>
  <c r="R121" i="3" s="1"/>
  <c r="P118" i="3"/>
  <c r="R118" i="3" s="1"/>
  <c r="P115" i="3"/>
  <c r="R115" i="3" s="1"/>
  <c r="P112" i="3"/>
  <c r="R112" i="3" s="1"/>
  <c r="P109" i="3"/>
  <c r="R109" i="3" s="1"/>
  <c r="P106" i="3"/>
  <c r="R106" i="3" s="1"/>
  <c r="P103" i="3"/>
  <c r="R103" i="3" s="1"/>
  <c r="P100" i="3"/>
  <c r="R100" i="3" s="1"/>
  <c r="P97" i="3"/>
  <c r="R97" i="3" s="1"/>
  <c r="P94" i="3"/>
  <c r="R94" i="3" s="1"/>
  <c r="P91" i="3"/>
  <c r="R91" i="3" s="1"/>
  <c r="P88" i="3"/>
  <c r="R88" i="3" s="1"/>
  <c r="P85" i="3"/>
  <c r="R85" i="3" s="1"/>
  <c r="P82" i="3"/>
  <c r="R82" i="3" s="1"/>
  <c r="P79" i="3"/>
  <c r="R79" i="3" s="1"/>
  <c r="P76" i="3"/>
  <c r="R76" i="3" s="1"/>
  <c r="P73" i="3"/>
  <c r="R73" i="3" s="1"/>
  <c r="P70" i="3"/>
  <c r="R70" i="3" s="1"/>
  <c r="P67" i="3"/>
  <c r="R67" i="3" s="1"/>
  <c r="P64" i="3"/>
  <c r="R64" i="3" s="1"/>
  <c r="P61" i="3"/>
  <c r="R61" i="3" s="1"/>
  <c r="P58" i="3"/>
  <c r="R58" i="3" s="1"/>
  <c r="P55" i="3"/>
  <c r="R55" i="3" s="1"/>
  <c r="P53" i="3"/>
  <c r="R53" i="3" s="1"/>
  <c r="P50" i="3"/>
  <c r="R50" i="3" s="1"/>
  <c r="P47" i="3"/>
  <c r="R47" i="3" s="1"/>
  <c r="P44" i="3"/>
  <c r="R44" i="3" s="1"/>
  <c r="P43" i="3"/>
  <c r="R43" i="3" s="1"/>
  <c r="P36" i="3"/>
  <c r="R36" i="3" s="1"/>
  <c r="P33" i="3"/>
  <c r="R33" i="3" s="1"/>
  <c r="P30" i="3"/>
  <c r="R30" i="3" s="1"/>
  <c r="P27" i="3"/>
  <c r="R27" i="3" s="1"/>
  <c r="P24" i="3"/>
  <c r="R24" i="3" s="1"/>
  <c r="P23" i="3"/>
  <c r="R23" i="3" s="1"/>
  <c r="R31" i="3" l="1"/>
  <c r="R40" i="3"/>
  <c r="R48" i="3"/>
  <c r="R62" i="3"/>
  <c r="R77" i="3"/>
  <c r="R89" i="3"/>
  <c r="R104" i="3"/>
  <c r="R116" i="3"/>
  <c r="R131" i="3"/>
  <c r="R143" i="3"/>
  <c r="R21" i="3"/>
  <c r="R25" i="3"/>
  <c r="R34" i="3"/>
  <c r="R41" i="3"/>
  <c r="R51" i="3"/>
  <c r="R68" i="3"/>
  <c r="R80" i="3"/>
  <c r="R95" i="3"/>
  <c r="R107" i="3"/>
  <c r="R122" i="3"/>
  <c r="R134" i="3"/>
  <c r="R149" i="3"/>
  <c r="R20" i="3"/>
  <c r="R28" i="3"/>
  <c r="R39" i="3"/>
  <c r="R45" i="3"/>
  <c r="R59" i="3"/>
  <c r="R71" i="3"/>
  <c r="R86" i="3"/>
  <c r="R98" i="3"/>
  <c r="R113" i="3"/>
  <c r="R125" i="3"/>
  <c r="R140" i="3"/>
  <c r="R152" i="3"/>
  <c r="C6" i="5"/>
  <c r="D6" i="5"/>
  <c r="C7" i="5"/>
  <c r="D7" i="5"/>
  <c r="C8" i="5"/>
  <c r="D8" i="5"/>
  <c r="C9" i="5"/>
  <c r="D9" i="5"/>
  <c r="C10" i="5"/>
  <c r="D10" i="5"/>
  <c r="C11" i="5"/>
  <c r="D11" i="5"/>
  <c r="C12" i="5"/>
  <c r="D12" i="5"/>
  <c r="C13" i="5"/>
  <c r="D13" i="5"/>
  <c r="J153" i="3" l="1"/>
  <c r="J154" i="3" s="1"/>
  <c r="I153" i="3"/>
  <c r="I154" i="3" s="1"/>
  <c r="H153" i="3"/>
  <c r="H154" i="3" s="1"/>
  <c r="G153" i="3"/>
  <c r="G154" i="3" s="1"/>
  <c r="J152" i="3"/>
  <c r="I152" i="3"/>
  <c r="H152" i="3"/>
  <c r="G152" i="3"/>
  <c r="J151" i="3"/>
  <c r="I151" i="3"/>
  <c r="H151" i="3"/>
  <c r="G151" i="3"/>
  <c r="F150" i="3"/>
  <c r="J147" i="3"/>
  <c r="J149" i="3" s="1"/>
  <c r="I147" i="3"/>
  <c r="I149" i="3" s="1"/>
  <c r="H147" i="3"/>
  <c r="H149" i="3" s="1"/>
  <c r="G147" i="3"/>
  <c r="G149" i="3" s="1"/>
  <c r="F149" i="3" s="1"/>
  <c r="J144" i="3"/>
  <c r="J145" i="3" s="1"/>
  <c r="I144" i="3"/>
  <c r="I145" i="3" s="1"/>
  <c r="H144" i="3"/>
  <c r="H145" i="3" s="1"/>
  <c r="G144" i="3"/>
  <c r="G145" i="3" s="1"/>
  <c r="J143" i="3"/>
  <c r="I143" i="3"/>
  <c r="H143" i="3"/>
  <c r="G143" i="3"/>
  <c r="J142" i="3"/>
  <c r="I142" i="3"/>
  <c r="H142" i="3"/>
  <c r="G142" i="3"/>
  <c r="F141" i="3"/>
  <c r="G139" i="3"/>
  <c r="J138" i="3"/>
  <c r="J140" i="3" s="1"/>
  <c r="I138" i="3"/>
  <c r="I140" i="3" s="1"/>
  <c r="H138" i="3"/>
  <c r="H140" i="3" s="1"/>
  <c r="G138" i="3"/>
  <c r="G140" i="3" s="1"/>
  <c r="M135" i="3"/>
  <c r="M136" i="3" s="1"/>
  <c r="L135" i="3"/>
  <c r="L136" i="3" s="1"/>
  <c r="K135" i="3"/>
  <c r="K136" i="3" s="1"/>
  <c r="J135" i="3"/>
  <c r="J136" i="3" s="1"/>
  <c r="I135" i="3"/>
  <c r="I136" i="3" s="1"/>
  <c r="H135" i="3"/>
  <c r="H136" i="3" s="1"/>
  <c r="G135" i="3"/>
  <c r="G136" i="3" s="1"/>
  <c r="M134" i="3"/>
  <c r="L134" i="3"/>
  <c r="K134" i="3"/>
  <c r="J134" i="3"/>
  <c r="I134" i="3"/>
  <c r="H134" i="3"/>
  <c r="G134" i="3"/>
  <c r="M133" i="3"/>
  <c r="L133" i="3"/>
  <c r="K133" i="3"/>
  <c r="J133" i="3"/>
  <c r="I133" i="3"/>
  <c r="H133" i="3"/>
  <c r="G133" i="3"/>
  <c r="F132" i="3"/>
  <c r="M131" i="3"/>
  <c r="M129" i="3"/>
  <c r="M130" i="3" s="1"/>
  <c r="L129" i="3"/>
  <c r="L131" i="3" s="1"/>
  <c r="K129" i="3"/>
  <c r="K131" i="3" s="1"/>
  <c r="J129" i="3"/>
  <c r="J131" i="3" s="1"/>
  <c r="I129" i="3"/>
  <c r="I131" i="3" s="1"/>
  <c r="H129" i="3"/>
  <c r="H131" i="3" s="1"/>
  <c r="G129" i="3"/>
  <c r="G131" i="3" s="1"/>
  <c r="M126" i="3"/>
  <c r="M127" i="3" s="1"/>
  <c r="L126" i="3"/>
  <c r="L127" i="3" s="1"/>
  <c r="K126" i="3"/>
  <c r="K127" i="3" s="1"/>
  <c r="J126" i="3"/>
  <c r="J127" i="3" s="1"/>
  <c r="I126" i="3"/>
  <c r="I127" i="3" s="1"/>
  <c r="H126" i="3"/>
  <c r="H127" i="3" s="1"/>
  <c r="G126" i="3"/>
  <c r="G127" i="3" s="1"/>
  <c r="M125" i="3"/>
  <c r="L125" i="3"/>
  <c r="K125" i="3"/>
  <c r="J125" i="3"/>
  <c r="I125" i="3"/>
  <c r="H125" i="3"/>
  <c r="G125" i="3"/>
  <c r="M124" i="3"/>
  <c r="L124" i="3"/>
  <c r="K124" i="3"/>
  <c r="J124" i="3"/>
  <c r="I124" i="3"/>
  <c r="H124" i="3"/>
  <c r="G124" i="3"/>
  <c r="F123" i="3"/>
  <c r="G121" i="3"/>
  <c r="M120" i="3"/>
  <c r="M121" i="3" s="1"/>
  <c r="L120" i="3"/>
  <c r="L121" i="3" s="1"/>
  <c r="K120" i="3"/>
  <c r="K122" i="3" s="1"/>
  <c r="J120" i="3"/>
  <c r="J122" i="3" s="1"/>
  <c r="I120" i="3"/>
  <c r="I122" i="3" s="1"/>
  <c r="H120" i="3"/>
  <c r="H122" i="3" s="1"/>
  <c r="G120" i="3"/>
  <c r="G122" i="3" s="1"/>
  <c r="M117" i="3"/>
  <c r="M118" i="3" s="1"/>
  <c r="L117" i="3"/>
  <c r="L118" i="3" s="1"/>
  <c r="K117" i="3"/>
  <c r="K118" i="3" s="1"/>
  <c r="J117" i="3"/>
  <c r="J118" i="3" s="1"/>
  <c r="I117" i="3"/>
  <c r="I118" i="3" s="1"/>
  <c r="H117" i="3"/>
  <c r="H118" i="3" s="1"/>
  <c r="G117" i="3"/>
  <c r="G118" i="3" s="1"/>
  <c r="M116" i="3"/>
  <c r="L116" i="3"/>
  <c r="K116" i="3"/>
  <c r="J116" i="3"/>
  <c r="I116" i="3"/>
  <c r="H116" i="3"/>
  <c r="G116" i="3"/>
  <c r="M115" i="3"/>
  <c r="L115" i="3"/>
  <c r="K115" i="3"/>
  <c r="J115" i="3"/>
  <c r="I115" i="3"/>
  <c r="H115" i="3"/>
  <c r="G115" i="3"/>
  <c r="F114" i="3"/>
  <c r="L112" i="3"/>
  <c r="M111" i="3"/>
  <c r="M113" i="3" s="1"/>
  <c r="L111" i="3"/>
  <c r="L113" i="3" s="1"/>
  <c r="K111" i="3"/>
  <c r="K113" i="3" s="1"/>
  <c r="J111" i="3"/>
  <c r="J113" i="3" s="1"/>
  <c r="I111" i="3"/>
  <c r="I113" i="3" s="1"/>
  <c r="H111" i="3"/>
  <c r="H113" i="3" s="1"/>
  <c r="G111" i="3"/>
  <c r="G113" i="3" s="1"/>
  <c r="M108" i="3"/>
  <c r="M109" i="3" s="1"/>
  <c r="L108" i="3"/>
  <c r="L109" i="3" s="1"/>
  <c r="K108" i="3"/>
  <c r="K109" i="3" s="1"/>
  <c r="J108" i="3"/>
  <c r="J109" i="3" s="1"/>
  <c r="I108" i="3"/>
  <c r="I109" i="3" s="1"/>
  <c r="H108" i="3"/>
  <c r="H109" i="3" s="1"/>
  <c r="G108" i="3"/>
  <c r="G109" i="3" s="1"/>
  <c r="M107" i="3"/>
  <c r="L107" i="3"/>
  <c r="K107" i="3"/>
  <c r="J107" i="3"/>
  <c r="I107" i="3"/>
  <c r="H107" i="3"/>
  <c r="G107" i="3"/>
  <c r="M106" i="3"/>
  <c r="L106" i="3"/>
  <c r="K106" i="3"/>
  <c r="J106" i="3"/>
  <c r="I106" i="3"/>
  <c r="H106" i="3"/>
  <c r="G106" i="3"/>
  <c r="F105" i="3"/>
  <c r="G103" i="3"/>
  <c r="M102" i="3"/>
  <c r="M104" i="3" s="1"/>
  <c r="L102" i="3"/>
  <c r="L103" i="3" s="1"/>
  <c r="K102" i="3"/>
  <c r="K104" i="3" s="1"/>
  <c r="J102" i="3"/>
  <c r="J104" i="3" s="1"/>
  <c r="I102" i="3"/>
  <c r="I104" i="3" s="1"/>
  <c r="H102" i="3"/>
  <c r="H104" i="3" s="1"/>
  <c r="G102" i="3"/>
  <c r="G104" i="3" s="1"/>
  <c r="M99" i="3"/>
  <c r="M100" i="3" s="1"/>
  <c r="L99" i="3"/>
  <c r="L100" i="3" s="1"/>
  <c r="K99" i="3"/>
  <c r="K100" i="3" s="1"/>
  <c r="J99" i="3"/>
  <c r="J100" i="3" s="1"/>
  <c r="I99" i="3"/>
  <c r="I100" i="3" s="1"/>
  <c r="H99" i="3"/>
  <c r="H100" i="3" s="1"/>
  <c r="G99" i="3"/>
  <c r="G100" i="3" s="1"/>
  <c r="M98" i="3"/>
  <c r="L98" i="3"/>
  <c r="K98" i="3"/>
  <c r="J98" i="3"/>
  <c r="I98" i="3"/>
  <c r="H98" i="3"/>
  <c r="G98" i="3"/>
  <c r="M97" i="3"/>
  <c r="L97" i="3"/>
  <c r="K97" i="3"/>
  <c r="J97" i="3"/>
  <c r="I97" i="3"/>
  <c r="H97" i="3"/>
  <c r="G97" i="3"/>
  <c r="F96" i="3"/>
  <c r="M94" i="3"/>
  <c r="M93" i="3"/>
  <c r="M95" i="3" s="1"/>
  <c r="L93" i="3"/>
  <c r="L95" i="3" s="1"/>
  <c r="K93" i="3"/>
  <c r="K94" i="3" s="1"/>
  <c r="J93" i="3"/>
  <c r="J95" i="3" s="1"/>
  <c r="I93" i="3"/>
  <c r="I95" i="3" s="1"/>
  <c r="H93" i="3"/>
  <c r="H95" i="3" s="1"/>
  <c r="G93" i="3"/>
  <c r="G95" i="3" s="1"/>
  <c r="M90" i="3"/>
  <c r="M91" i="3" s="1"/>
  <c r="L90" i="3"/>
  <c r="L91" i="3" s="1"/>
  <c r="K90" i="3"/>
  <c r="K91" i="3" s="1"/>
  <c r="J90" i="3"/>
  <c r="J91" i="3" s="1"/>
  <c r="I90" i="3"/>
  <c r="I91" i="3" s="1"/>
  <c r="H90" i="3"/>
  <c r="H91" i="3" s="1"/>
  <c r="G90" i="3"/>
  <c r="G91" i="3" s="1"/>
  <c r="M89" i="3"/>
  <c r="L89" i="3"/>
  <c r="K89" i="3"/>
  <c r="J89" i="3"/>
  <c r="I89" i="3"/>
  <c r="H89" i="3"/>
  <c r="G89" i="3"/>
  <c r="M88" i="3"/>
  <c r="L88" i="3"/>
  <c r="K88" i="3"/>
  <c r="J88" i="3"/>
  <c r="I88" i="3"/>
  <c r="H88" i="3"/>
  <c r="G88" i="3"/>
  <c r="F87" i="3"/>
  <c r="L86" i="3"/>
  <c r="M84" i="3"/>
  <c r="M86" i="3" s="1"/>
  <c r="L84" i="3"/>
  <c r="L85" i="3" s="1"/>
  <c r="K84" i="3"/>
  <c r="K86" i="3" s="1"/>
  <c r="J84" i="3"/>
  <c r="J86" i="3" s="1"/>
  <c r="I84" i="3"/>
  <c r="I86" i="3" s="1"/>
  <c r="H84" i="3"/>
  <c r="H86" i="3" s="1"/>
  <c r="G84" i="3"/>
  <c r="G86" i="3" s="1"/>
  <c r="M81" i="3"/>
  <c r="M82" i="3" s="1"/>
  <c r="L81" i="3"/>
  <c r="L82" i="3" s="1"/>
  <c r="K81" i="3"/>
  <c r="K82" i="3" s="1"/>
  <c r="J81" i="3"/>
  <c r="J82" i="3" s="1"/>
  <c r="I81" i="3"/>
  <c r="I82" i="3" s="1"/>
  <c r="H81" i="3"/>
  <c r="H82" i="3" s="1"/>
  <c r="G81" i="3"/>
  <c r="G82" i="3" s="1"/>
  <c r="M80" i="3"/>
  <c r="L80" i="3"/>
  <c r="K80" i="3"/>
  <c r="J80" i="3"/>
  <c r="I80" i="3"/>
  <c r="H80" i="3"/>
  <c r="G80" i="3"/>
  <c r="M79" i="3"/>
  <c r="L79" i="3"/>
  <c r="K79" i="3"/>
  <c r="J79" i="3"/>
  <c r="I79" i="3"/>
  <c r="H79" i="3"/>
  <c r="G79" i="3"/>
  <c r="F78" i="3"/>
  <c r="M75" i="3"/>
  <c r="M76" i="3" s="1"/>
  <c r="L75" i="3"/>
  <c r="L77" i="3" s="1"/>
  <c r="K75" i="3"/>
  <c r="K77" i="3" s="1"/>
  <c r="J75" i="3"/>
  <c r="J77" i="3" s="1"/>
  <c r="I75" i="3"/>
  <c r="I77" i="3" s="1"/>
  <c r="H75" i="3"/>
  <c r="H77" i="3" s="1"/>
  <c r="G75" i="3"/>
  <c r="G77" i="3" s="1"/>
  <c r="M72" i="3"/>
  <c r="M73" i="3" s="1"/>
  <c r="L72" i="3"/>
  <c r="L73" i="3" s="1"/>
  <c r="K72" i="3"/>
  <c r="K73" i="3" s="1"/>
  <c r="J72" i="3"/>
  <c r="J73" i="3" s="1"/>
  <c r="I72" i="3"/>
  <c r="I73" i="3" s="1"/>
  <c r="H72" i="3"/>
  <c r="H73" i="3" s="1"/>
  <c r="G72" i="3"/>
  <c r="G73" i="3" s="1"/>
  <c r="M71" i="3"/>
  <c r="L71" i="3"/>
  <c r="K71" i="3"/>
  <c r="J71" i="3"/>
  <c r="I71" i="3"/>
  <c r="H71" i="3"/>
  <c r="G71" i="3"/>
  <c r="M70" i="3"/>
  <c r="L70" i="3"/>
  <c r="K70" i="3"/>
  <c r="J70" i="3"/>
  <c r="I70" i="3"/>
  <c r="H70" i="3"/>
  <c r="G70" i="3"/>
  <c r="F69" i="3"/>
  <c r="L68" i="3"/>
  <c r="K68" i="3"/>
  <c r="M66" i="3"/>
  <c r="M68" i="3" s="1"/>
  <c r="L66" i="3"/>
  <c r="L67" i="3" s="1"/>
  <c r="K66" i="3"/>
  <c r="K67" i="3" s="1"/>
  <c r="J66" i="3"/>
  <c r="J68" i="3" s="1"/>
  <c r="I66" i="3"/>
  <c r="I68" i="3" s="1"/>
  <c r="H66" i="3"/>
  <c r="H68" i="3" s="1"/>
  <c r="G66" i="3"/>
  <c r="G68" i="3" s="1"/>
  <c r="F63" i="3"/>
  <c r="F60" i="3"/>
  <c r="M63" i="3"/>
  <c r="M64" i="3" s="1"/>
  <c r="L63" i="3"/>
  <c r="L64" i="3" s="1"/>
  <c r="K63" i="3"/>
  <c r="K64" i="3" s="1"/>
  <c r="J63" i="3"/>
  <c r="J64" i="3" s="1"/>
  <c r="I63" i="3"/>
  <c r="I64" i="3" s="1"/>
  <c r="H63" i="3"/>
  <c r="H64" i="3" s="1"/>
  <c r="G63" i="3"/>
  <c r="G64" i="3" s="1"/>
  <c r="I61" i="3"/>
  <c r="K62" i="3"/>
  <c r="L62" i="3"/>
  <c r="M62" i="3"/>
  <c r="G62" i="3"/>
  <c r="L61" i="3"/>
  <c r="K61" i="3"/>
  <c r="J61" i="3"/>
  <c r="J62" i="3"/>
  <c r="I62" i="3"/>
  <c r="H61" i="3"/>
  <c r="G61" i="3"/>
  <c r="M57" i="3"/>
  <c r="M59" i="3" s="1"/>
  <c r="L57" i="3"/>
  <c r="L59" i="3" s="1"/>
  <c r="K57" i="3"/>
  <c r="K59" i="3" s="1"/>
  <c r="J57" i="3"/>
  <c r="J59" i="3" s="1"/>
  <c r="I57" i="3"/>
  <c r="I59" i="3" s="1"/>
  <c r="H57" i="3"/>
  <c r="H58" i="3" s="1"/>
  <c r="G57" i="3"/>
  <c r="G59" i="3" s="1"/>
  <c r="I55" i="3"/>
  <c r="M54" i="3"/>
  <c r="M55" i="3" s="1"/>
  <c r="L54" i="3"/>
  <c r="L55" i="3" s="1"/>
  <c r="K54" i="3"/>
  <c r="K55" i="3" s="1"/>
  <c r="J54" i="3"/>
  <c r="J55" i="3" s="1"/>
  <c r="H54" i="3"/>
  <c r="H55" i="3" s="1"/>
  <c r="G54" i="3"/>
  <c r="G55" i="3" s="1"/>
  <c r="F52" i="3"/>
  <c r="M53" i="3"/>
  <c r="L53" i="3"/>
  <c r="K53" i="3"/>
  <c r="J53" i="3"/>
  <c r="I53" i="3"/>
  <c r="H53" i="3"/>
  <c r="G53" i="3"/>
  <c r="K50" i="3"/>
  <c r="I50" i="3"/>
  <c r="G50" i="3"/>
  <c r="M49" i="3"/>
  <c r="M51" i="3" s="1"/>
  <c r="L49" i="3"/>
  <c r="L51" i="3" s="1"/>
  <c r="K49" i="3"/>
  <c r="K51" i="3" s="1"/>
  <c r="J49" i="3"/>
  <c r="J51" i="3" s="1"/>
  <c r="I49" i="3"/>
  <c r="I51" i="3" s="1"/>
  <c r="H49" i="3"/>
  <c r="H50" i="3" s="1"/>
  <c r="G49" i="3"/>
  <c r="G51" i="3" s="1"/>
  <c r="F46" i="3"/>
  <c r="J47" i="3"/>
  <c r="K47" i="3"/>
  <c r="L48" i="3"/>
  <c r="M48" i="3"/>
  <c r="I48" i="3"/>
  <c r="H47" i="3"/>
  <c r="G47" i="3"/>
  <c r="M47" i="3"/>
  <c r="L47" i="3"/>
  <c r="I47" i="3"/>
  <c r="K48" i="3"/>
  <c r="J48" i="3"/>
  <c r="F42" i="3"/>
  <c r="I45" i="3"/>
  <c r="H45" i="3"/>
  <c r="G45" i="3"/>
  <c r="J44" i="3"/>
  <c r="I44" i="3"/>
  <c r="J43" i="3"/>
  <c r="I43" i="3"/>
  <c r="H43" i="3"/>
  <c r="G43" i="3"/>
  <c r="M45" i="3"/>
  <c r="L44" i="3"/>
  <c r="K43" i="3"/>
  <c r="J45" i="3"/>
  <c r="H44" i="3"/>
  <c r="G44" i="3"/>
  <c r="J41" i="3"/>
  <c r="J40" i="3"/>
  <c r="J39" i="3"/>
  <c r="M38" i="3"/>
  <c r="M41" i="3" s="1"/>
  <c r="L38" i="3"/>
  <c r="L39" i="3" s="1"/>
  <c r="K38" i="3"/>
  <c r="K40" i="3" s="1"/>
  <c r="I38" i="3"/>
  <c r="I41" i="3" s="1"/>
  <c r="H38" i="3"/>
  <c r="H40" i="3" s="1"/>
  <c r="G38" i="3"/>
  <c r="G40" i="3" s="1"/>
  <c r="M36" i="3"/>
  <c r="L36" i="3"/>
  <c r="K36" i="3"/>
  <c r="I36" i="3"/>
  <c r="H36" i="3"/>
  <c r="G36" i="3"/>
  <c r="J35" i="3"/>
  <c r="J36" i="3" s="1"/>
  <c r="M32" i="3"/>
  <c r="M34" i="3" s="1"/>
  <c r="L32" i="3"/>
  <c r="L34" i="3" s="1"/>
  <c r="K32" i="3"/>
  <c r="K34" i="3" s="1"/>
  <c r="J32" i="3"/>
  <c r="J34" i="3" s="1"/>
  <c r="I32" i="3"/>
  <c r="I34" i="3" s="1"/>
  <c r="H32" i="3"/>
  <c r="H33" i="3" s="1"/>
  <c r="G32" i="3"/>
  <c r="G33" i="3" s="1"/>
  <c r="J30" i="3"/>
  <c r="M29" i="3"/>
  <c r="M31" i="3" s="1"/>
  <c r="L29" i="3"/>
  <c r="L31" i="3" s="1"/>
  <c r="K29" i="3"/>
  <c r="K31" i="3" s="1"/>
  <c r="I29" i="3"/>
  <c r="I31" i="3" s="1"/>
  <c r="H29" i="3"/>
  <c r="H30" i="3" s="1"/>
  <c r="G29" i="3"/>
  <c r="G30" i="3" s="1"/>
  <c r="M27" i="3"/>
  <c r="L27" i="3"/>
  <c r="K27" i="3"/>
  <c r="M26" i="3"/>
  <c r="M28" i="3" s="1"/>
  <c r="L26" i="3"/>
  <c r="L28" i="3" s="1"/>
  <c r="K26" i="3"/>
  <c r="K28" i="3" s="1"/>
  <c r="J26" i="3"/>
  <c r="J28" i="3" s="1"/>
  <c r="I26" i="3"/>
  <c r="I28" i="3" s="1"/>
  <c r="H26" i="3"/>
  <c r="H27" i="3" s="1"/>
  <c r="G26" i="3"/>
  <c r="G27" i="3" s="1"/>
  <c r="J25" i="3"/>
  <c r="J24" i="3"/>
  <c r="J23" i="3"/>
  <c r="M22" i="3"/>
  <c r="M25" i="3" s="1"/>
  <c r="L22" i="3"/>
  <c r="L23" i="3" s="1"/>
  <c r="K22" i="3"/>
  <c r="K23" i="3" s="1"/>
  <c r="I22" i="3"/>
  <c r="I25" i="3" s="1"/>
  <c r="H22" i="3"/>
  <c r="H24" i="3" s="1"/>
  <c r="G22" i="3"/>
  <c r="G24" i="3" s="1"/>
  <c r="F18" i="3"/>
  <c r="M21" i="3"/>
  <c r="L21" i="3"/>
  <c r="K21" i="3"/>
  <c r="I21" i="3"/>
  <c r="H21" i="3"/>
  <c r="G21" i="3"/>
  <c r="M20" i="3"/>
  <c r="L20" i="3"/>
  <c r="K20" i="3"/>
  <c r="I20" i="3"/>
  <c r="H20" i="3"/>
  <c r="G20" i="3"/>
  <c r="M19" i="3"/>
  <c r="L19" i="3"/>
  <c r="K19" i="3"/>
  <c r="I19" i="3"/>
  <c r="H19" i="3"/>
  <c r="G19" i="3"/>
  <c r="J18" i="3"/>
  <c r="J19" i="3" s="1"/>
  <c r="F26" i="3" l="1"/>
  <c r="M58" i="3"/>
  <c r="L58" i="3"/>
  <c r="H139" i="3"/>
  <c r="G39" i="3"/>
  <c r="F54" i="3"/>
  <c r="H85" i="3"/>
  <c r="L94" i="3"/>
  <c r="K112" i="3"/>
  <c r="H130" i="3"/>
  <c r="H39" i="3"/>
  <c r="G76" i="3"/>
  <c r="I85" i="3"/>
  <c r="H103" i="3"/>
  <c r="H121" i="3"/>
  <c r="J130" i="3"/>
  <c r="J67" i="3"/>
  <c r="H76" i="3"/>
  <c r="J85" i="3"/>
  <c r="K95" i="3"/>
  <c r="I103" i="3"/>
  <c r="M112" i="3"/>
  <c r="L122" i="3"/>
  <c r="F122" i="3" s="1"/>
  <c r="K130" i="3"/>
  <c r="I39" i="3"/>
  <c r="M77" i="3"/>
  <c r="K85" i="3"/>
  <c r="J103" i="3"/>
  <c r="M122" i="3"/>
  <c r="L130" i="3"/>
  <c r="K103" i="3"/>
  <c r="J27" i="3"/>
  <c r="M67" i="3"/>
  <c r="M85" i="3"/>
  <c r="L104" i="3"/>
  <c r="F104" i="3" s="1"/>
  <c r="S149" i="3"/>
  <c r="Q149" i="3"/>
  <c r="F80" i="3"/>
  <c r="F98" i="3"/>
  <c r="F151" i="3"/>
  <c r="F124" i="3"/>
  <c r="F152" i="3"/>
  <c r="F116" i="3"/>
  <c r="F134" i="3"/>
  <c r="F79" i="3"/>
  <c r="F95" i="3"/>
  <c r="F71" i="3"/>
  <c r="F143" i="3"/>
  <c r="F55" i="3"/>
  <c r="F89" i="3"/>
  <c r="F125" i="3"/>
  <c r="F113" i="3"/>
  <c r="F107" i="3"/>
  <c r="F88" i="3"/>
  <c r="F106" i="3"/>
  <c r="F32" i="3"/>
  <c r="F111" i="3"/>
  <c r="F68" i="3"/>
  <c r="F57" i="3"/>
  <c r="F86" i="3"/>
  <c r="F131" i="3"/>
  <c r="I139" i="3"/>
  <c r="G148" i="3"/>
  <c r="L50" i="3"/>
  <c r="F91" i="3"/>
  <c r="J139" i="3"/>
  <c r="H148" i="3"/>
  <c r="J76" i="3"/>
  <c r="F97" i="3"/>
  <c r="I121" i="3"/>
  <c r="J148" i="3"/>
  <c r="I33" i="3"/>
  <c r="I40" i="3"/>
  <c r="K76" i="3"/>
  <c r="G94" i="3"/>
  <c r="M103" i="3"/>
  <c r="J121" i="3"/>
  <c r="F38" i="3"/>
  <c r="J33" i="3"/>
  <c r="F35" i="3"/>
  <c r="F49" i="3"/>
  <c r="F70" i="3"/>
  <c r="L76" i="3"/>
  <c r="H94" i="3"/>
  <c r="F115" i="3"/>
  <c r="F120" i="3"/>
  <c r="K121" i="3"/>
  <c r="F145" i="3"/>
  <c r="G23" i="3"/>
  <c r="K33" i="3"/>
  <c r="G41" i="3"/>
  <c r="I58" i="3"/>
  <c r="G67" i="3"/>
  <c r="F77" i="3"/>
  <c r="I94" i="3"/>
  <c r="G112" i="3"/>
  <c r="F127" i="3"/>
  <c r="H23" i="3"/>
  <c r="L33" i="3"/>
  <c r="H41" i="3"/>
  <c r="J58" i="3"/>
  <c r="H67" i="3"/>
  <c r="J94" i="3"/>
  <c r="H112" i="3"/>
  <c r="F133" i="3"/>
  <c r="F138" i="3"/>
  <c r="I23" i="3"/>
  <c r="I27" i="3"/>
  <c r="M33" i="3"/>
  <c r="F47" i="3"/>
  <c r="K58" i="3"/>
  <c r="I67" i="3"/>
  <c r="F72" i="3"/>
  <c r="G85" i="3"/>
  <c r="J112" i="3"/>
  <c r="G130" i="3"/>
  <c r="F142" i="3"/>
  <c r="F154" i="3"/>
  <c r="I148" i="3"/>
  <c r="F147" i="3"/>
  <c r="F153" i="3"/>
  <c r="F140" i="3"/>
  <c r="F144" i="3"/>
  <c r="F136" i="3"/>
  <c r="I130" i="3"/>
  <c r="F129" i="3"/>
  <c r="F135" i="3"/>
  <c r="F126" i="3"/>
  <c r="F118" i="3"/>
  <c r="I112" i="3"/>
  <c r="F117" i="3"/>
  <c r="F109" i="3"/>
  <c r="F102" i="3"/>
  <c r="F108" i="3"/>
  <c r="F100" i="3"/>
  <c r="F93" i="3"/>
  <c r="F99" i="3"/>
  <c r="F84" i="3"/>
  <c r="F90" i="3"/>
  <c r="F82" i="3"/>
  <c r="I76" i="3"/>
  <c r="F75" i="3"/>
  <c r="F81" i="3"/>
  <c r="F73" i="3"/>
  <c r="F66" i="3"/>
  <c r="F64" i="3"/>
  <c r="F36" i="3"/>
  <c r="F53" i="3"/>
  <c r="F19" i="3"/>
  <c r="I24" i="3"/>
  <c r="G25" i="3"/>
  <c r="H25" i="3"/>
  <c r="F22" i="3"/>
  <c r="M61" i="3"/>
  <c r="F61" i="3" s="1"/>
  <c r="H62" i="3"/>
  <c r="F62" i="3" s="1"/>
  <c r="H59" i="3"/>
  <c r="F59" i="3" s="1"/>
  <c r="G58" i="3"/>
  <c r="J50" i="3"/>
  <c r="M50" i="3"/>
  <c r="H51" i="3"/>
  <c r="F51" i="3" s="1"/>
  <c r="G48" i="3"/>
  <c r="H48" i="3"/>
  <c r="K44" i="3"/>
  <c r="L43" i="3"/>
  <c r="M43" i="3"/>
  <c r="K45" i="3"/>
  <c r="M44" i="3"/>
  <c r="L45" i="3"/>
  <c r="M40" i="3"/>
  <c r="M39" i="3"/>
  <c r="K41" i="3"/>
  <c r="L40" i="3"/>
  <c r="K39" i="3"/>
  <c r="L41" i="3"/>
  <c r="L30" i="3"/>
  <c r="K30" i="3"/>
  <c r="I30" i="3"/>
  <c r="M30" i="3"/>
  <c r="F29" i="3"/>
  <c r="G34" i="3"/>
  <c r="H34" i="3"/>
  <c r="J31" i="3"/>
  <c r="H31" i="3"/>
  <c r="G31" i="3"/>
  <c r="G28" i="3"/>
  <c r="H28" i="3"/>
  <c r="K24" i="3"/>
  <c r="M24" i="3"/>
  <c r="M23" i="3"/>
  <c r="K25" i="3"/>
  <c r="L24" i="3"/>
  <c r="L25" i="3"/>
  <c r="J21" i="3"/>
  <c r="F21" i="3" s="1"/>
  <c r="J20" i="3"/>
  <c r="F20" i="3" s="1"/>
  <c r="F85" i="3" l="1"/>
  <c r="F103" i="3"/>
  <c r="F27" i="3"/>
  <c r="Q68" i="3"/>
  <c r="S68" i="3"/>
  <c r="S134" i="3"/>
  <c r="Q134" i="3"/>
  <c r="Q116" i="3"/>
  <c r="S116" i="3"/>
  <c r="Q95" i="3"/>
  <c r="S95" i="3"/>
  <c r="Q152" i="3"/>
  <c r="S152" i="3"/>
  <c r="S77" i="3"/>
  <c r="Q77" i="3"/>
  <c r="Q107" i="3"/>
  <c r="S107" i="3"/>
  <c r="Q140" i="3"/>
  <c r="S140" i="3"/>
  <c r="S113" i="3"/>
  <c r="Q113" i="3"/>
  <c r="S21" i="3"/>
  <c r="Q21" i="3"/>
  <c r="S125" i="3"/>
  <c r="Q125" i="3"/>
  <c r="S98" i="3"/>
  <c r="Q98" i="3"/>
  <c r="Q71" i="3"/>
  <c r="S71" i="3"/>
  <c r="S20" i="3"/>
  <c r="Q20" i="3"/>
  <c r="Q122" i="3"/>
  <c r="S122" i="3"/>
  <c r="S89" i="3"/>
  <c r="Q89" i="3"/>
  <c r="Q80" i="3"/>
  <c r="S80" i="3"/>
  <c r="Q104" i="3"/>
  <c r="S104" i="3"/>
  <c r="S59" i="3"/>
  <c r="Q59" i="3"/>
  <c r="Q62" i="3"/>
  <c r="S62" i="3"/>
  <c r="S131" i="3"/>
  <c r="Q131" i="3"/>
  <c r="Q51" i="3"/>
  <c r="S51" i="3"/>
  <c r="Q86" i="3"/>
  <c r="S86" i="3"/>
  <c r="S143" i="3"/>
  <c r="Q143" i="3"/>
  <c r="F139" i="3"/>
  <c r="F23" i="3"/>
  <c r="F76" i="3"/>
  <c r="F33" i="3"/>
  <c r="F121" i="3"/>
  <c r="F94" i="3"/>
  <c r="F58" i="3"/>
  <c r="F112" i="3"/>
  <c r="F148" i="3"/>
  <c r="F67" i="3"/>
  <c r="F39" i="3"/>
  <c r="F31" i="3"/>
  <c r="F40" i="3"/>
  <c r="F130" i="3"/>
  <c r="F50" i="3"/>
  <c r="F41" i="3"/>
  <c r="F25" i="3"/>
  <c r="F45" i="3"/>
  <c r="F43" i="3"/>
  <c r="F44" i="3"/>
  <c r="F34" i="3"/>
  <c r="F30" i="3"/>
  <c r="F24" i="3"/>
  <c r="F48" i="3"/>
  <c r="F28" i="3"/>
  <c r="S31" i="3" l="1"/>
  <c r="Q31" i="3"/>
  <c r="Q39" i="3"/>
  <c r="S39" i="3"/>
  <c r="S45" i="3"/>
  <c r="Q45" i="3"/>
  <c r="Q34" i="3"/>
  <c r="S34" i="3"/>
  <c r="Q25" i="3"/>
  <c r="S25" i="3"/>
  <c r="S48" i="3"/>
  <c r="Q48" i="3"/>
  <c r="S41" i="3"/>
  <c r="Q41" i="3"/>
  <c r="Q28" i="3"/>
  <c r="S28" i="3"/>
  <c r="Q40" i="3"/>
  <c r="S40" i="3"/>
  <c r="N153" i="3"/>
  <c r="S153" i="3" s="1"/>
  <c r="N150" i="3"/>
  <c r="S150" i="3" s="1"/>
  <c r="N147" i="3"/>
  <c r="S147" i="3" s="1"/>
  <c r="N144" i="3"/>
  <c r="S144" i="3" s="1"/>
  <c r="N141" i="3"/>
  <c r="S141" i="3" s="1"/>
  <c r="N138" i="3"/>
  <c r="S138" i="3" s="1"/>
  <c r="N135" i="3"/>
  <c r="S135" i="3" s="1"/>
  <c r="N132" i="3"/>
  <c r="S132" i="3" s="1"/>
  <c r="N129" i="3"/>
  <c r="S129" i="3" s="1"/>
  <c r="N126" i="3"/>
  <c r="S126" i="3" s="1"/>
  <c r="N123" i="3"/>
  <c r="S123" i="3" s="1"/>
  <c r="N120" i="3"/>
  <c r="S120" i="3" s="1"/>
  <c r="N117" i="3"/>
  <c r="S117" i="3" s="1"/>
  <c r="N114" i="3"/>
  <c r="S114" i="3" s="1"/>
  <c r="N111" i="3"/>
  <c r="S111" i="3" s="1"/>
  <c r="N108" i="3"/>
  <c r="S108" i="3" s="1"/>
  <c r="N105" i="3"/>
  <c r="S105" i="3" s="1"/>
  <c r="N102" i="3"/>
  <c r="S102" i="3" s="1"/>
  <c r="N99" i="3"/>
  <c r="S99" i="3" s="1"/>
  <c r="N96" i="3"/>
  <c r="S96" i="3" s="1"/>
  <c r="N93" i="3"/>
  <c r="S93" i="3" s="1"/>
  <c r="N90" i="3"/>
  <c r="S90" i="3" s="1"/>
  <c r="N87" i="3"/>
  <c r="S87" i="3" s="1"/>
  <c r="N84" i="3"/>
  <c r="S84" i="3" s="1"/>
  <c r="N81" i="3"/>
  <c r="S81" i="3" s="1"/>
  <c r="N78" i="3"/>
  <c r="S78" i="3" s="1"/>
  <c r="N75" i="3"/>
  <c r="S75" i="3" s="1"/>
  <c r="N72" i="3"/>
  <c r="S72" i="3" s="1"/>
  <c r="N69" i="3"/>
  <c r="S69" i="3" s="1"/>
  <c r="N66" i="3"/>
  <c r="S66" i="3" s="1"/>
  <c r="N63" i="3"/>
  <c r="S63" i="3" s="1"/>
  <c r="N60" i="3"/>
  <c r="S60" i="3" s="1"/>
  <c r="N57" i="3"/>
  <c r="S57" i="3" s="1"/>
  <c r="N54" i="3"/>
  <c r="S54" i="3" s="1"/>
  <c r="N52" i="3"/>
  <c r="S52" i="3" s="1"/>
  <c r="N49" i="3"/>
  <c r="S49" i="3" s="1"/>
  <c r="N46" i="3"/>
  <c r="S46" i="3" s="1"/>
  <c r="N42" i="3"/>
  <c r="S42" i="3" s="1"/>
  <c r="N38" i="3"/>
  <c r="S38" i="3" s="1"/>
  <c r="N35" i="3"/>
  <c r="S35" i="3" s="1"/>
  <c r="N32" i="3"/>
  <c r="S32" i="3" s="1"/>
  <c r="N29" i="3"/>
  <c r="S29" i="3" s="1"/>
  <c r="N26" i="3"/>
  <c r="S26" i="3" s="1"/>
  <c r="N22" i="3"/>
  <c r="S22" i="3" s="1"/>
  <c r="O29" i="3" l="1"/>
  <c r="O49" i="3"/>
  <c r="O66" i="3"/>
  <c r="O84" i="3"/>
  <c r="O102" i="3"/>
  <c r="O120" i="3"/>
  <c r="O129" i="3"/>
  <c r="O147" i="3"/>
  <c r="R38" i="3"/>
  <c r="R57" i="3"/>
  <c r="R66" i="3"/>
  <c r="R84" i="3"/>
  <c r="R93" i="3"/>
  <c r="R111" i="3"/>
  <c r="R120" i="3"/>
  <c r="R129" i="3"/>
  <c r="R138" i="3"/>
  <c r="R147" i="3"/>
  <c r="O38" i="3"/>
  <c r="O57" i="3"/>
  <c r="O75" i="3"/>
  <c r="O93" i="3"/>
  <c r="O111" i="3"/>
  <c r="O138" i="3"/>
  <c r="R29" i="3"/>
  <c r="R49" i="3"/>
  <c r="R75" i="3"/>
  <c r="R102" i="3"/>
  <c r="O60" i="3"/>
  <c r="O32" i="3"/>
  <c r="O42" i="3"/>
  <c r="O69" i="3"/>
  <c r="O87" i="3"/>
  <c r="O105" i="3"/>
  <c r="O123" i="3"/>
  <c r="O141" i="3"/>
  <c r="R32" i="3"/>
  <c r="R52" i="3"/>
  <c r="R60" i="3"/>
  <c r="R69" i="3"/>
  <c r="R78" i="3"/>
  <c r="R87" i="3"/>
  <c r="R96" i="3"/>
  <c r="R105" i="3"/>
  <c r="R114" i="3"/>
  <c r="R123" i="3"/>
  <c r="R132" i="3"/>
  <c r="R141" i="3"/>
  <c r="R150" i="3"/>
  <c r="O22" i="3"/>
  <c r="O52" i="3"/>
  <c r="O78" i="3"/>
  <c r="O96" i="3"/>
  <c r="O114" i="3"/>
  <c r="O132" i="3"/>
  <c r="O150" i="3"/>
  <c r="R22" i="3"/>
  <c r="R42" i="3"/>
  <c r="O26" i="3"/>
  <c r="O35" i="3"/>
  <c r="O46" i="3"/>
  <c r="O54" i="3"/>
  <c r="O63" i="3"/>
  <c r="O72" i="3"/>
  <c r="O81" i="3"/>
  <c r="O90" i="3"/>
  <c r="O99" i="3"/>
  <c r="O108" i="3"/>
  <c r="O117" i="3"/>
  <c r="O126" i="3"/>
  <c r="O135" i="3"/>
  <c r="O144" i="3"/>
  <c r="O153" i="3"/>
  <c r="R26" i="3"/>
  <c r="R35" i="3"/>
  <c r="R46" i="3"/>
  <c r="R54" i="3"/>
  <c r="R63" i="3"/>
  <c r="R72" i="3"/>
  <c r="R81" i="3"/>
  <c r="R90" i="3"/>
  <c r="R99" i="3"/>
  <c r="R108" i="3"/>
  <c r="R117" i="3"/>
  <c r="R126" i="3"/>
  <c r="R135" i="3"/>
  <c r="R144" i="3"/>
  <c r="R153" i="3"/>
  <c r="P19" i="3"/>
  <c r="S19" i="3" s="1"/>
  <c r="N18" i="3"/>
  <c r="S18" i="3" s="1"/>
  <c r="Q19" i="3" l="1"/>
  <c r="R19" i="3"/>
  <c r="R18" i="3"/>
  <c r="O18" i="3"/>
  <c r="E59" i="1"/>
  <c r="A159" i="3" l="1"/>
  <c r="A39" i="1" l="1"/>
  <c r="E25" i="1" l="1"/>
  <c r="E6" i="5" s="1"/>
  <c r="E26" i="1"/>
  <c r="E7" i="5" s="1"/>
  <c r="E27" i="1"/>
  <c r="E8" i="5" s="1"/>
  <c r="E28" i="1"/>
  <c r="G28" i="1" s="1"/>
  <c r="E29" i="1"/>
  <c r="E9" i="5" s="1"/>
  <c r="E30" i="1"/>
  <c r="E10" i="5" s="1"/>
  <c r="E31" i="1"/>
  <c r="E11" i="5" s="1"/>
  <c r="E32" i="1"/>
  <c r="E12" i="5" s="1"/>
  <c r="E33" i="1"/>
  <c r="G33" i="1" s="1"/>
  <c r="E34" i="1"/>
  <c r="G34" i="1" s="1"/>
  <c r="E35" i="1"/>
  <c r="E13" i="5" s="1"/>
  <c r="E24" i="1"/>
  <c r="G24" i="1" s="1"/>
  <c r="G37" i="1" l="1"/>
  <c r="S155" i="3"/>
  <c r="S157" i="3" l="1"/>
  <c r="S158" i="3" s="1"/>
  <c r="E17" i="1"/>
  <c r="E18" i="1"/>
  <c r="E19" i="1"/>
  <c r="E20" i="1"/>
  <c r="E21" i="1"/>
  <c r="E22" i="1"/>
  <c r="G38" i="1" l="1"/>
  <c r="S156" i="3"/>
  <c r="S159" i="3" s="1"/>
  <c r="S160" i="3" l="1"/>
  <c r="G20" i="1"/>
  <c r="G21" i="1"/>
  <c r="G22" i="1"/>
  <c r="G19" i="1" l="1"/>
  <c r="G18" i="1"/>
  <c r="G17" i="1" l="1"/>
  <c r="G36" i="1" s="1"/>
  <c r="G39" i="1" l="1"/>
  <c r="G40" i="1" s="1"/>
</calcChain>
</file>

<file path=xl/sharedStrings.xml><?xml version="1.0" encoding="utf-8"?>
<sst xmlns="http://schemas.openxmlformats.org/spreadsheetml/2006/main" count="592" uniqueCount="188">
  <si>
    <t>№ пп</t>
  </si>
  <si>
    <t>Наименование расценок/матералов</t>
  </si>
  <si>
    <t>Идентификатор СМР/ТМЦ</t>
  </si>
  <si>
    <t>Ед. изм.</t>
  </si>
  <si>
    <t>Общий объем</t>
  </si>
  <si>
    <t>Примечание подрядчика</t>
  </si>
  <si>
    <t>м</t>
  </si>
  <si>
    <t>ИТОГО стоимость ТМЦ</t>
  </si>
  <si>
    <t>ИТОГО стоимость СМР</t>
  </si>
  <si>
    <t>Тендерные условия</t>
  </si>
  <si>
    <t>Материалы</t>
  </si>
  <si>
    <t>№ п/п</t>
  </si>
  <si>
    <t>Обоснование</t>
  </si>
  <si>
    <t>Наименование работ и затрат</t>
  </si>
  <si>
    <t>Единица измерения</t>
  </si>
  <si>
    <t>Количество</t>
  </si>
  <si>
    <t>Сметная стоимость в текущих (прогнозных) ценах, руб.</t>
  </si>
  <si>
    <t>на ед.</t>
  </si>
  <si>
    <t>Всего</t>
  </si>
  <si>
    <t>ЛОКАЛЬНЫЙ РЕСУРСНЫЙ СМЕТНЫЙ РАСЧЕТ № 1</t>
  </si>
  <si>
    <t>(наименование работ и затрат, наименование объекта)</t>
  </si>
  <si>
    <t xml:space="preserve">Компенсация НДС на материал при условии применения УСН </t>
  </si>
  <si>
    <t>Итого по сметному расчету</t>
  </si>
  <si>
    <t xml:space="preserve">Стоимость </t>
  </si>
  <si>
    <t>в т.ч стоимость работ по сметному расчету</t>
  </si>
  <si>
    <t>в т.ч стоимость материала по сметному расчету</t>
  </si>
  <si>
    <t>Работы за ед</t>
  </si>
  <si>
    <t>Работы итого</t>
  </si>
  <si>
    <t>Материал за ед</t>
  </si>
  <si>
    <t>Материал итого</t>
  </si>
  <si>
    <t>УТВЕРЖДАЮ:</t>
  </si>
  <si>
    <t>Заказчик</t>
  </si>
  <si>
    <t>м.п.</t>
  </si>
  <si>
    <t>Директор ООО «»</t>
  </si>
  <si>
    <t xml:space="preserve">________________ </t>
  </si>
  <si>
    <t>СОГЛАСОВАНО:</t>
  </si>
  <si>
    <t>Подрядчик</t>
  </si>
  <si>
    <t>Компенсация НДС на ТМЦ при условии применения УСН</t>
  </si>
  <si>
    <t>Стройка:</t>
  </si>
  <si>
    <t>Объект:</t>
  </si>
  <si>
    <t>Статья бюджета:</t>
  </si>
  <si>
    <t>Стоимость, указанная в предложении включает в себя все необходимые затраты на выполнение полного комплекса работ</t>
  </si>
  <si>
    <r>
      <t>Цена на ед. измерения в руб.</t>
    </r>
    <r>
      <rPr>
        <b/>
        <sz val="14"/>
        <color rgb="FFFF0000"/>
        <rFont val="Times New Roman"/>
        <family val="1"/>
        <charset val="204"/>
      </rPr>
      <t xml:space="preserve"> без НДС</t>
    </r>
  </si>
  <si>
    <r>
      <t xml:space="preserve">Твердая договорная стоимость на полный объем в руб. </t>
    </r>
    <r>
      <rPr>
        <b/>
        <sz val="14"/>
        <color rgb="FFFF0000"/>
        <rFont val="Times New Roman"/>
        <family val="1"/>
        <charset val="204"/>
      </rPr>
      <t>без НДС</t>
    </r>
  </si>
  <si>
    <t>Наименование работ:</t>
  </si>
  <si>
    <t>Подрядчик:</t>
  </si>
  <si>
    <t>Заказчик:</t>
  </si>
  <si>
    <t>Ячейки выделенные синим цветом обязательны к заполнению</t>
  </si>
  <si>
    <t>Примечание заказчика</t>
  </si>
  <si>
    <t>Указать релевантный опыт только по специализации тендера</t>
  </si>
  <si>
    <t>Да/Нет</t>
  </si>
  <si>
    <t>Шифр/номер РД</t>
  </si>
  <si>
    <r>
      <t xml:space="preserve">Авансовый платеж </t>
    </r>
    <r>
      <rPr>
        <sz val="12"/>
        <color theme="1"/>
        <rFont val="Times New Roman"/>
        <family val="1"/>
        <charset val="204"/>
      </rPr>
      <t>(Не более 30% от стоимости договора. Аванс предоставляется для целевого исползования, покупка материалов, перебазировка тяжёлой техники и т.п</t>
    </r>
    <r>
      <rPr>
        <b/>
        <sz val="12"/>
        <color theme="1"/>
        <rFont val="Times New Roman"/>
        <family val="1"/>
        <charset val="204"/>
      </rPr>
      <t>.)</t>
    </r>
  </si>
  <si>
    <r>
      <t xml:space="preserve">Срок выполнения работ </t>
    </r>
    <r>
      <rPr>
        <sz val="12"/>
        <color theme="1"/>
        <rFont val="Times New Roman"/>
        <family val="1"/>
        <charset val="204"/>
      </rPr>
      <t>(Календарных дней)</t>
    </r>
  </si>
  <si>
    <r>
      <t xml:space="preserve"> </t>
    </r>
    <r>
      <rPr>
        <b/>
        <sz val="12"/>
        <rFont val="Times New Roman"/>
        <family val="1"/>
        <charset val="204"/>
      </rPr>
      <t>Зачет аванса:</t>
    </r>
    <r>
      <rPr>
        <sz val="12"/>
        <rFont val="Times New Roman"/>
        <family val="1"/>
        <charset val="204"/>
      </rPr>
      <t xml:space="preserve"> 
</t>
    </r>
    <r>
      <rPr>
        <sz val="12"/>
        <color theme="1"/>
        <rFont val="Times New Roman"/>
        <family val="1"/>
        <charset val="204"/>
      </rPr>
      <t xml:space="preserve">1) в 100 % объеме от выполненных работ
2) в 50% объёме от выполненных работ
 </t>
    </r>
    <r>
      <rPr>
        <sz val="12"/>
        <color rgb="FFFF0000"/>
        <rFont val="Times New Roman"/>
        <family val="1"/>
        <charset val="204"/>
      </rPr>
      <t>(выбрать вариант - заполнить)</t>
    </r>
    <r>
      <rPr>
        <sz val="12"/>
        <color theme="1"/>
        <rFont val="Times New Roman"/>
        <family val="1"/>
        <charset val="204"/>
      </rPr>
      <t xml:space="preserve"> </t>
    </r>
    <r>
      <rPr>
        <b/>
        <sz val="12"/>
        <color theme="1"/>
        <rFont val="Times New Roman"/>
        <family val="1"/>
        <charset val="204"/>
      </rPr>
      <t xml:space="preserve">                                                                                                                                                                                                                                                                                           </t>
    </r>
  </si>
  <si>
    <t>Указать № _
 Дата выдачи:________</t>
  </si>
  <si>
    <t>ИТР ___ чел., рабочие ___ чел. / ИТР ___ чел., рабочие ___ чел.</t>
  </si>
  <si>
    <t>Да - указать объем работ при котором будет сохранение расценок/Нет</t>
  </si>
  <si>
    <t>Да/Нет
Банк гарант - ___________</t>
  </si>
  <si>
    <t>Директор ООО «» / Индивидуальный предприниматель</t>
  </si>
  <si>
    <t>/</t>
  </si>
  <si>
    <t>МП</t>
  </si>
  <si>
    <t>подпись</t>
  </si>
  <si>
    <t>(расшифровка подписи)</t>
  </si>
  <si>
    <t>Стоимость КП предусматривает все затраты (косвенные и прямые) для выполнения полного комплекса работ/услуг согласно ТЗ, типовой формы договора подряда.</t>
  </si>
  <si>
    <t>Наименование работ</t>
  </si>
  <si>
    <t>Комплексная застройка «ДНС Сити», расположенная по адресу: Приморский край, Надеждинский р-н, п. Новый, в районе ул. Ленина, д.16а</t>
  </si>
  <si>
    <t>Многоэтажный многоквартирный жилой дом, расположенный на земельном участке с кадастровым номером 25:10:011500:2784 (ОКС 12.2)</t>
  </si>
  <si>
    <t>Ведомость давальческого материала</t>
  </si>
  <si>
    <t>№</t>
  </si>
  <si>
    <t>Наименование</t>
  </si>
  <si>
    <t>Ед.изм</t>
  </si>
  <si>
    <t>Наименование раздела РД</t>
  </si>
  <si>
    <t>Лист РД</t>
  </si>
  <si>
    <t>Проектное решение</t>
  </si>
  <si>
    <t>Предлагаемое к согласованию решение по замене материалов/оборудования/конструкций</t>
  </si>
  <si>
    <t>Стоимость по РД, руб</t>
  </si>
  <si>
    <t>Предлагаемая стоимость, руб</t>
  </si>
  <si>
    <t>Замечания и предложения к рабочей документации</t>
  </si>
  <si>
    <t>Стоимость КП расчитана на основании приложенной проектной/рабочей документации</t>
  </si>
  <si>
    <r>
      <rPr>
        <b/>
        <sz val="12"/>
        <rFont val="Times New Roman"/>
        <family val="1"/>
        <charset val="204"/>
      </rPr>
      <t xml:space="preserve">В стоимости учтены расходы на услуги по уборке, складированию и вывозу строительных отходов </t>
    </r>
    <r>
      <rPr>
        <b/>
        <sz val="12"/>
        <color indexed="2"/>
        <rFont val="Times New Roman"/>
        <family val="1"/>
        <charset val="204"/>
      </rPr>
      <t xml:space="preserve"> </t>
    </r>
    <r>
      <rPr>
        <sz val="12"/>
        <color indexed="2"/>
        <rFont val="Times New Roman"/>
        <family val="1"/>
        <charset val="204"/>
      </rPr>
      <t>(да/нет)</t>
    </r>
  </si>
  <si>
    <r>
      <rPr>
        <b/>
        <sz val="12"/>
        <rFont val="Times New Roman"/>
        <family val="1"/>
        <charset val="204"/>
      </rPr>
      <t>Численность официально трудоустроенных лиц/ численность, планируемая для реализации тендера</t>
    </r>
    <r>
      <rPr>
        <sz val="12"/>
        <rFont val="Times New Roman"/>
        <family val="1"/>
        <charset val="204"/>
      </rPr>
      <t xml:space="preserve"> </t>
    </r>
    <r>
      <rPr>
        <sz val="12"/>
        <color indexed="2"/>
        <rFont val="Times New Roman"/>
        <family val="1"/>
        <charset val="204"/>
      </rPr>
      <t>(указать …/….)</t>
    </r>
  </si>
  <si>
    <r>
      <rPr>
        <b/>
        <sz val="12"/>
        <rFont val="Times New Roman"/>
        <family val="1"/>
        <charset val="204"/>
      </rPr>
      <t>Контактное лицо по вопросам участия в тендере</t>
    </r>
    <r>
      <rPr>
        <sz val="12"/>
        <color indexed="2"/>
        <rFont val="Times New Roman"/>
        <family val="1"/>
        <charset val="204"/>
      </rPr>
      <t xml:space="preserve"> (должность, ФИО - полностью, контакты: тел., e-mail)</t>
    </r>
  </si>
  <si>
    <r>
      <rPr>
        <b/>
        <sz val="12"/>
        <rFont val="Times New Roman"/>
        <family val="1"/>
        <charset val="204"/>
      </rPr>
      <t>Генеральный директор предприятия</t>
    </r>
    <r>
      <rPr>
        <sz val="12"/>
        <rFont val="Times New Roman"/>
        <family val="1"/>
        <charset val="204"/>
      </rPr>
      <t xml:space="preserve"> </t>
    </r>
    <r>
      <rPr>
        <sz val="12"/>
        <color indexed="2"/>
        <rFont val="Times New Roman"/>
        <family val="1"/>
        <charset val="204"/>
      </rPr>
      <t>(ФИО - полностью, контакты: тел., e-mail)</t>
    </r>
  </si>
  <si>
    <t>Да</t>
  </si>
  <si>
    <r>
      <t xml:space="preserve">Готовность к уменьшению объемов работ и сохранению при этом единичных расценок.  </t>
    </r>
    <r>
      <rPr>
        <sz val="12"/>
        <color rgb="FFFF0000"/>
        <rFont val="Times New Roman"/>
        <family val="1"/>
        <charset val="204"/>
      </rPr>
      <t>(да/нет)</t>
    </r>
  </si>
  <si>
    <r>
      <rPr>
        <b/>
        <sz val="12"/>
        <rFont val="Times New Roman"/>
        <family val="1"/>
        <charset val="204"/>
      </rPr>
      <t>Наличие СРО/ лицензии</t>
    </r>
    <r>
      <rPr>
        <sz val="12"/>
        <rFont val="Times New Roman"/>
        <family val="1"/>
        <charset val="204"/>
      </rPr>
      <t xml:space="preserve"> </t>
    </r>
    <r>
      <rPr>
        <sz val="12"/>
        <color rgb="FFFF0000"/>
        <rFont val="Times New Roman"/>
        <family val="1"/>
        <charset val="204"/>
      </rPr>
      <t xml:space="preserve">(да/нет)-для тендеров, когда СРО/лицензия необходима. </t>
    </r>
  </si>
  <si>
    <t>60 (Шестьдесят) месяцев</t>
  </si>
  <si>
    <t>Гарантийный срок на выполненные работы по договору с даты подписания последней КС.</t>
  </si>
  <si>
    <r>
      <rPr>
        <b/>
        <sz val="12"/>
        <rFont val="Times New Roman"/>
        <family val="1"/>
        <charset val="204"/>
      </rPr>
      <t>Готовность приступить к работе по гарантийному письму Заказчика о намерениях заключить договор</t>
    </r>
    <r>
      <rPr>
        <sz val="12"/>
        <rFont val="Times New Roman"/>
        <family val="1"/>
        <charset val="204"/>
      </rPr>
      <t xml:space="preserve"> </t>
    </r>
    <r>
      <rPr>
        <sz val="12"/>
        <color rgb="FFFF0000"/>
        <rFont val="Times New Roman"/>
        <family val="1"/>
        <charset val="204"/>
      </rPr>
      <t>(да/нет, указать, к каким работам готовы приступить по гарантийному письму до заключения договора)</t>
    </r>
  </si>
  <si>
    <r>
      <rPr>
        <b/>
        <sz val="12"/>
        <rFont val="Times New Roman"/>
        <family val="1"/>
        <charset val="204"/>
      </rPr>
      <t>Банковская гарантия на авансовый платеж</t>
    </r>
    <r>
      <rPr>
        <sz val="12"/>
        <rFont val="Times New Roman"/>
        <family val="1"/>
        <charset val="204"/>
      </rPr>
      <t xml:space="preserve"> (при предоставлении аванса более 2 000 000 руб. с НДС) </t>
    </r>
    <r>
      <rPr>
        <sz val="12"/>
        <color rgb="FFFF0000"/>
        <rFont val="Times New Roman"/>
        <family val="1"/>
        <charset val="204"/>
      </rPr>
      <t>(да/нет) -  указать банк-гарант.</t>
    </r>
    <r>
      <rPr>
        <sz val="12"/>
        <rFont val="Times New Roman"/>
        <family val="1"/>
        <charset val="204"/>
      </rPr>
      <t xml:space="preserve">
</t>
    </r>
    <r>
      <rPr>
        <b/>
        <sz val="12"/>
        <rFont val="Times New Roman"/>
        <family val="1"/>
        <charset val="204"/>
      </rPr>
      <t>Срок действия банковской гарантии должен быть + 6 месяцев к предполагаемой дате завершения работ по графику производства работ</t>
    </r>
  </si>
  <si>
    <r>
      <t xml:space="preserve">Организация работает с </t>
    </r>
    <r>
      <rPr>
        <sz val="12"/>
        <color rgb="FFFF0000"/>
        <rFont val="Times New Roman"/>
        <family val="1"/>
        <charset val="204"/>
      </rPr>
      <t>НДС 20%/НДС 7%/НДС 5%/без НДС</t>
    </r>
  </si>
  <si>
    <t>Количество рабочих/ИТР*</t>
  </si>
  <si>
    <t>* - минимальное количество людей для производства работ в день</t>
  </si>
  <si>
    <t xml:space="preserve">ООО СЗ "ДНС Сити" 692481, с. Вольно-Надеждинское, Территория ТОР Надеждинская </t>
  </si>
  <si>
    <t>Технический заказчик:</t>
  </si>
  <si>
    <t>ООО "Инвест Строй" 690068, г. Владивосток, пр-т 100 летия Владивостока, 155 корп. 3, оф. 41</t>
  </si>
  <si>
    <t>Директор ООО «Ивест Строй»</t>
  </si>
  <si>
    <t>________________ Сомов Н.Ф.</t>
  </si>
  <si>
    <t>20% от материала при УСН или НДС 5%/7%</t>
  </si>
  <si>
    <t>НДС 20%/НДС 7%/НДС 5%/без НДС от всей суммы СМР и ТМЦ</t>
  </si>
  <si>
    <r>
      <t xml:space="preserve">Опыт реализации аналогичных видов работ за последние 3 года
</t>
    </r>
    <r>
      <rPr>
        <b/>
        <sz val="12"/>
        <color rgb="FFFF0000"/>
        <rFont val="Times New Roman"/>
        <family val="1"/>
        <charset val="204"/>
      </rPr>
      <t>Заказчик:
Контакты заказчика:
Объект:
Сроки выполнения работ:
Предмет договора:</t>
    </r>
  </si>
  <si>
    <t>ОКС 12.2</t>
  </si>
  <si>
    <t>Длит, дн</t>
  </si>
  <si>
    <t>2025 год</t>
  </si>
  <si>
    <t>Январь</t>
  </si>
  <si>
    <t>Февраль</t>
  </si>
  <si>
    <t>Март</t>
  </si>
  <si>
    <t>Апрель</t>
  </si>
  <si>
    <t>Май</t>
  </si>
  <si>
    <t>Июнь</t>
  </si>
  <si>
    <t>Июль</t>
  </si>
  <si>
    <t>Август</t>
  </si>
  <si>
    <t>Сентябрь</t>
  </si>
  <si>
    <t>Октябрь</t>
  </si>
  <si>
    <t>Ноябрь</t>
  </si>
  <si>
    <t>Декабрь</t>
  </si>
  <si>
    <t>Материал заказчика</t>
  </si>
  <si>
    <t>ИТОГО КОММЕРЧЕСКОЕ ПРЕДЛОЖЕНИЕ</t>
  </si>
  <si>
    <r>
      <rPr>
        <b/>
        <sz val="16"/>
        <color rgb="FFC00000"/>
        <rFont val="Times New Roman"/>
        <family val="1"/>
        <charset val="204"/>
      </rPr>
      <t xml:space="preserve">Позиции ТМЦ включают в себя стоимость основных материалов и доставку их на объект
Для позиции СМР в расценке необходимо учесть все затраты для выполнения указанного вида работ за исключением материалов выделенных в разделе "Материалы" </t>
    </r>
    <r>
      <rPr>
        <sz val="16"/>
        <color rgb="FFC00000"/>
        <rFont val="Times New Roman"/>
        <family val="1"/>
        <charset val="204"/>
      </rPr>
      <t xml:space="preserve">(заработная плата,эксплуатация машин и механизмов, накладные расходы, сметная прибыль, сопутствующих материалов для выполнения указанных видов работ)
</t>
    </r>
    <r>
      <rPr>
        <b/>
        <sz val="16"/>
        <color rgb="FFC00000"/>
        <rFont val="Times New Roman"/>
        <family val="1"/>
        <charset val="204"/>
      </rPr>
      <t>Расчеты выполнить в соответствии с ведомостью КП и приложенной РД</t>
    </r>
    <r>
      <rPr>
        <sz val="16"/>
        <color rgb="FFC00000"/>
        <rFont val="Times New Roman"/>
        <family val="1"/>
        <charset val="204"/>
      </rPr>
      <t xml:space="preserve">
</t>
    </r>
    <r>
      <rPr>
        <b/>
        <sz val="16"/>
        <color rgb="FFC00000"/>
        <rFont val="Times New Roman"/>
        <family val="1"/>
        <charset val="204"/>
      </rPr>
      <t>Все возникшие предложения по РД указать в отдельной вкладке "Замечания-предложения к РД"</t>
    </r>
  </si>
  <si>
    <t>КОММЕРЧЕСКОЕ ПРЕДЛОЖЕНИЕ ОТ</t>
  </si>
  <si>
    <t>Указать дату составления КП в формате ДД.ММ.ГГГГ</t>
  </si>
  <si>
    <t>УС1</t>
  </si>
  <si>
    <t>ШС2</t>
  </si>
  <si>
    <t>ШС3</t>
  </si>
  <si>
    <t>УС4</t>
  </si>
  <si>
    <t>ШС5</t>
  </si>
  <si>
    <t>УС6</t>
  </si>
  <si>
    <t>ШС7</t>
  </si>
  <si>
    <t>Раздел 1. Подвал/цоколь</t>
  </si>
  <si>
    <t>м2</t>
  </si>
  <si>
    <t>Грунтовка глубокого проникновения</t>
  </si>
  <si>
    <t>л</t>
  </si>
  <si>
    <t>кг</t>
  </si>
  <si>
    <t>Раздел 2. 1 этаж</t>
  </si>
  <si>
    <t>Раздел 3. 2 этаж</t>
  </si>
  <si>
    <t>Раздел 4. 3 этаж</t>
  </si>
  <si>
    <t>Раздел 5. 4 этаж</t>
  </si>
  <si>
    <t>Раздел 6. 5 этаж</t>
  </si>
  <si>
    <t>Раздел 7. 6 этаж</t>
  </si>
  <si>
    <t>Раздел 8. 7 этаж</t>
  </si>
  <si>
    <t>Раздел 9. 8 этаж</t>
  </si>
  <si>
    <t>Раздел 10. 9 этаж</t>
  </si>
  <si>
    <t>Раздел 11. 10 этаж</t>
  </si>
  <si>
    <t>Раздел 12. 11 этаж</t>
  </si>
  <si>
    <t>Раздел 13. 12 этаж</t>
  </si>
  <si>
    <t>Расход на ед. изм</t>
  </si>
  <si>
    <t>DP-0624-089 - АР(1-7)</t>
  </si>
  <si>
    <t>на устройство внутренней отделки потолков в секциях УС1 - ШС7</t>
  </si>
  <si>
    <t>Выполнение работ по устройству внутренней отделки потолков в секциях УС1 - ШС7 на объекте "Многоэтажный многоквартирный жилой дом, расположенный на земельном участке с кадастровым номером 25:10:011500:2784 (ОКС 12.2)"</t>
  </si>
  <si>
    <t>Устройство внутренней отделки потолков в секциях УС1 - ШС7</t>
  </si>
  <si>
    <t>9.4.6 Потолки</t>
  </si>
  <si>
    <t>СНБ 9.4.6-02</t>
  </si>
  <si>
    <t>М9.4.6-01</t>
  </si>
  <si>
    <t>ГКЛ 12,5 мм</t>
  </si>
  <si>
    <t>М9.4.6-11</t>
  </si>
  <si>
    <t>Профиль потолочный направляющий 0,6 × 28 × 27 × 3000 мм</t>
  </si>
  <si>
    <t>М9.4.6-10</t>
  </si>
  <si>
    <t>Профиль потолочный 0,6 × 60 × 27 × 3000 мм</t>
  </si>
  <si>
    <t>СНБ 9.4.6-03</t>
  </si>
  <si>
    <t>М9.4.6-07</t>
  </si>
  <si>
    <t>Краска влагостойкая для сухих и влажных помещений колерованная RAL 9003</t>
  </si>
  <si>
    <t>М9.4.6-12</t>
  </si>
  <si>
    <t>Шпатлевка полимерная сухая</t>
  </si>
  <si>
    <t>М9.4.6-05</t>
  </si>
  <si>
    <t>СНБ 9.4.6-04</t>
  </si>
  <si>
    <t>М9.4.6-09</t>
  </si>
  <si>
    <t>Краска влагостойкая для сухих и влажных помещений колерованная RAL 9005</t>
  </si>
  <si>
    <t>М9.4.6-08</t>
  </si>
  <si>
    <t>Краска влагостойкая для сухих и влажных помещений колерованная RAL 9004</t>
  </si>
  <si>
    <t>М9.4.6-06</t>
  </si>
  <si>
    <t>Краска влагостойкая для сухих и влажных помещений колерованная RAL 7040</t>
  </si>
  <si>
    <t>СНБ 9.4.6-07</t>
  </si>
  <si>
    <t>М9.4.6-02</t>
  </si>
  <si>
    <t>Подвесной потолок Himmel RC с комплектующими</t>
  </si>
  <si>
    <t>СНБ 9.4.6-06</t>
  </si>
  <si>
    <t>М9.4.6-03</t>
  </si>
  <si>
    <t>Подвесной потолок Армстронг 600х600 с комплектующими</t>
  </si>
  <si>
    <t>СНБ 9.4.6-05</t>
  </si>
  <si>
    <t>М9.4.6-04</t>
  </si>
  <si>
    <t>Подвесной потолок Грильято 100х100 с комплектующими</t>
  </si>
  <si>
    <t>Расценки на СМР</t>
  </si>
  <si>
    <t>Устройство подвесных потолков из гипсокартонных листов (ГКЛ): одноуровневых
Состав работ: 
1. Доставка материала со склада заказчика до места производства работ
2. Наклейка уплотнительной ленты на направляющие профили.
3. Установка и крепление дюбелями направляющих профилей.
4. Установка подвесов с зажимами и тягами.
5. Установка основных и несущих профилей.
6. Соединение профилей между собой одноуровневыми соединителями.
7. Наклейка разделительной ленты в местах сопряжения с поверхностью стен и перегородок.
8. Обшивка каркаса гипсокартонными листами с креплением их самонарезающими винтами.
9. Заделка продольных швов шпаклевкой с применением армирующей ленты, поперечных швов и углублений от винтов - без ленты.
10. Уборка строительного мусора с места производства работ до контейнера на строительной площадке</t>
  </si>
  <si>
    <t>Окраска потолка: в 2 слоя с шпатлеванием
Состав работ: 
1. Доставка материала со склада заказчика до места производства работ
2. Грунтование поверхности
3. Нанесение первого слоя шпатлевки
4. Нанесение второго слоя шпатлевки
5. Шлифование поверхности
6. Грунтование поверхности
7. Окраска поверхности за 2 раза
8. Уборка строительного мусора с места производства работ до контейнера на строительной площадке</t>
  </si>
  <si>
    <t>Устройство подвесного потолка Грильято
Состав работ: 
1. Доставка материала со склада заказчика до места производства работ
2. Разметка и сверление отверстий в стенах и потолке
3. Резка и монтаж несущих конструкций
4. Сборка и монтаж секций подвесного решетчатого потолка
5. Уборка строительного мусора с места производства работ до контейнера на строительной площадке</t>
  </si>
  <si>
    <t>Устройство подвесного потолка Армстронг
Состав работ: 
1. Доставка материала со склада заказчика до места производства работ
2. Установка элементов крепления
3. Сборка и установка каркасов
4. Облицовка плитами потолков
5. Уборка строительного мусора с места производства работ до контейнера на строительной площадке</t>
  </si>
  <si>
    <t>Устройство подвесного потолка Himmel RC
Состав работ: 
1. Доставка материала со склада заказчика до места производства работ
2. Разметка и сверление отверстий в стенах и потолке
3. Резка и монтаж несущих конструкций
4. Облицовка каркаса рейками.
5. Уборка строительного мусора с места производства работ до контейнера на строительной площадке</t>
  </si>
  <si>
    <t>Окраска потолка: в 2 слоя: по бетону потолков
Состав работ: 
1. Доставка материала со склада заказчика до места производства работ
2. Грунтование поверхности
3. Окраска поверхности за 2 раза
4. Уборка строительного мусора с места производства работ до контейнера на строительной площадке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</si>
</sst>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F800]dddd\,\ mmmm\ dd\,\ yyyy"/>
  </numFmts>
  <fonts count="50" x14ac:knownFonts="1">
    <font>
      <sz val="11"/>
      <color theme="1"/>
      <name val="Calibri"/>
      <family val="2"/>
      <scheme val="minor"/>
    </font>
    <font>
      <sz val="11"/>
      <color theme="1"/>
      <name val="Calibri"/>
      <family val="2"/>
      <charset val="204"/>
      <scheme val="minor"/>
    </font>
    <font>
      <sz val="11"/>
      <color rgb="FF000000"/>
      <name val="Calibri"/>
      <family val="2"/>
      <charset val="204"/>
    </font>
    <font>
      <sz val="12"/>
      <color theme="1"/>
      <name val="Times New Roman"/>
      <family val="1"/>
      <charset val="204"/>
    </font>
    <font>
      <i/>
      <sz val="12"/>
      <color theme="1"/>
      <name val="Times New Roman"/>
      <family val="1"/>
      <charset val="204"/>
    </font>
    <font>
      <b/>
      <sz val="14"/>
      <color theme="1"/>
      <name val="Times New Roman"/>
      <family val="1"/>
      <charset val="204"/>
    </font>
    <font>
      <b/>
      <sz val="16"/>
      <color theme="1"/>
      <name val="Times New Roman"/>
      <family val="1"/>
      <charset val="204"/>
    </font>
    <font>
      <b/>
      <sz val="14"/>
      <name val="Times New Roman"/>
      <family val="1"/>
      <charset val="204"/>
    </font>
    <font>
      <sz val="11"/>
      <color rgb="FF000000"/>
      <name val="Calibri"/>
      <family val="2"/>
      <charset val="204"/>
    </font>
    <font>
      <sz val="11"/>
      <color theme="1"/>
      <name val="Times New Roman"/>
      <family val="1"/>
      <charset val="204"/>
    </font>
    <font>
      <b/>
      <sz val="12"/>
      <color theme="1"/>
      <name val="Times New Roman"/>
      <family val="1"/>
      <charset val="204"/>
    </font>
    <font>
      <sz val="10"/>
      <color theme="1"/>
      <name val="Times New Roman"/>
      <family val="1"/>
      <charset val="204"/>
    </font>
    <font>
      <sz val="8"/>
      <color theme="1"/>
      <name val="Times New Roman"/>
      <family val="1"/>
      <charset val="204"/>
    </font>
    <font>
      <b/>
      <sz val="11"/>
      <color theme="1"/>
      <name val="Times New Roman"/>
      <family val="1"/>
      <charset val="204"/>
    </font>
    <font>
      <i/>
      <sz val="11"/>
      <color theme="1"/>
      <name val="Times New Roman"/>
      <family val="1"/>
      <charset val="204"/>
    </font>
    <font>
      <b/>
      <i/>
      <sz val="11"/>
      <color theme="1"/>
      <name val="Times New Roman"/>
      <family val="1"/>
      <charset val="204"/>
    </font>
    <font>
      <b/>
      <sz val="12"/>
      <color rgb="FF000000"/>
      <name val="Times New Roman"/>
      <family val="1"/>
      <charset val="204"/>
    </font>
    <font>
      <sz val="12"/>
      <color rgb="FF000000"/>
      <name val="Times New Roman"/>
      <family val="1"/>
      <charset val="204"/>
    </font>
    <font>
      <b/>
      <sz val="14"/>
      <color rgb="FFFF0000"/>
      <name val="Times New Roman"/>
      <family val="1"/>
      <charset val="204"/>
    </font>
    <font>
      <sz val="14"/>
      <color theme="1"/>
      <name val="Times New Roman"/>
      <family val="1"/>
      <charset val="204"/>
    </font>
    <font>
      <b/>
      <sz val="12"/>
      <name val="Times New Roman"/>
      <family val="1"/>
      <charset val="204"/>
    </font>
    <font>
      <sz val="11"/>
      <color theme="1"/>
      <name val="Calibri"/>
      <family val="2"/>
      <scheme val="minor"/>
    </font>
    <font>
      <sz val="12"/>
      <color rgb="FFFF0000"/>
      <name val="Times New Roman"/>
      <family val="1"/>
      <charset val="204"/>
    </font>
    <font>
      <sz val="12"/>
      <name val="Times New Roman"/>
      <family val="1"/>
      <charset val="204"/>
    </font>
    <font>
      <sz val="12"/>
      <color indexed="2"/>
      <name val="Times New Roman"/>
      <family val="1"/>
      <charset val="204"/>
    </font>
    <font>
      <i/>
      <sz val="12"/>
      <color theme="1"/>
      <name val="Arial"/>
      <family val="2"/>
      <charset val="204"/>
    </font>
    <font>
      <sz val="14"/>
      <name val="Times New Roman"/>
      <family val="1"/>
      <charset val="204"/>
    </font>
    <font>
      <sz val="8"/>
      <name val="Calibri"/>
      <family val="2"/>
      <scheme val="minor"/>
    </font>
    <font>
      <b/>
      <sz val="12"/>
      <color indexed="2"/>
      <name val="Times New Roman"/>
      <family val="1"/>
      <charset val="204"/>
    </font>
    <font>
      <b/>
      <sz val="16"/>
      <color rgb="FFFF0000"/>
      <name val="Times New Roman"/>
      <family val="1"/>
      <charset val="204"/>
    </font>
    <font>
      <sz val="10"/>
      <color rgb="FF000000"/>
      <name val="Times New Roman"/>
      <family val="1"/>
      <charset val="204"/>
    </font>
    <font>
      <sz val="11"/>
      <color rgb="FF000000"/>
      <name val="Calibri"/>
      <family val="2"/>
      <charset val="204"/>
    </font>
    <font>
      <b/>
      <sz val="12"/>
      <color rgb="FFFF0000"/>
      <name val="Times New Roman"/>
      <family val="1"/>
      <charset val="204"/>
    </font>
    <font>
      <sz val="11"/>
      <color rgb="FF000000"/>
      <name val="Calibri"/>
      <charset val="204"/>
    </font>
    <font>
      <sz val="4"/>
      <color theme="1"/>
      <name val="Calibri"/>
      <family val="2"/>
      <scheme val="minor"/>
    </font>
    <font>
      <b/>
      <sz val="8"/>
      <color theme="1"/>
      <name val="Times New Roman"/>
      <family val="1"/>
      <charset val="204"/>
    </font>
    <font>
      <sz val="4"/>
      <color theme="1"/>
      <name val="Times New Roman"/>
      <family val="1"/>
      <charset val="204"/>
    </font>
    <font>
      <sz val="5"/>
      <color theme="1"/>
      <name val="Times New Roman"/>
      <family val="1"/>
      <charset val="204"/>
    </font>
    <font>
      <b/>
      <sz val="16"/>
      <color rgb="FFC00000"/>
      <name val="Times New Roman"/>
      <family val="1"/>
      <charset val="204"/>
    </font>
    <font>
      <sz val="16"/>
      <color rgb="FFC00000"/>
      <name val="Times New Roman"/>
      <family val="1"/>
      <charset val="204"/>
    </font>
    <font>
      <b/>
      <sz val="11"/>
      <color theme="1"/>
      <name val="Calibri"/>
      <family val="2"/>
      <charset val="204"/>
      <scheme val="minor"/>
    </font>
    <font>
      <i/>
      <sz val="10"/>
      <color rgb="FF000000"/>
      <name val="Times New Roman"/>
      <family val="1"/>
      <charset val="204"/>
    </font>
    <font>
      <b/>
      <i/>
      <sz val="12"/>
      <color theme="1"/>
      <name val="Arial"/>
      <family val="2"/>
      <charset val="204"/>
    </font>
    <font>
      <b/>
      <i/>
      <sz val="14"/>
      <color theme="1"/>
      <name val="Times New Roman"/>
      <family val="1"/>
      <charset val="204"/>
    </font>
    <font>
      <b/>
      <sz val="10"/>
      <color rgb="FF000000"/>
      <name val="Times New Roman"/>
      <family val="1"/>
      <charset val="204"/>
    </font>
    <font>
      <b/>
      <sz val="10"/>
      <name val="Times New Roman"/>
      <family val="1"/>
      <charset val="204"/>
    </font>
    <font>
      <b/>
      <sz val="9"/>
      <color rgb="FF000000"/>
      <name val="Times New Roman"/>
      <family val="1"/>
      <charset val="204"/>
    </font>
    <font>
      <sz val="9"/>
      <color rgb="FF000000"/>
      <name val="Times New Roman"/>
      <family val="1"/>
      <charset val="204"/>
    </font>
    <font>
      <i/>
      <sz val="9"/>
      <color rgb="FF000000"/>
      <name val="Times New Roman"/>
      <family val="1"/>
      <charset val="204"/>
    </font>
    <font>
      <b/>
      <i/>
      <sz val="9"/>
      <color rgb="FF000000"/>
      <name val="Times New Roman"/>
      <family val="1"/>
      <charset val="204"/>
    </font>
  </fonts>
  <fills count="5">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s>
  <cellStyleXfs count="8">
    <xf numFmtId="0" fontId="0" fillId="0" borderId="0"/>
    <xf numFmtId="0" fontId="2" fillId="0" borderId="0"/>
    <xf numFmtId="0" fontId="8" fillId="0" borderId="0"/>
    <xf numFmtId="0" fontId="21" fillId="0" borderId="0"/>
    <xf numFmtId="0" fontId="1" fillId="0" borderId="0"/>
    <xf numFmtId="0" fontId="31" fillId="0" borderId="0"/>
    <xf numFmtId="0" fontId="33" fillId="0" borderId="0"/>
    <xf numFmtId="9" fontId="21" fillId="0" borderId="0" applyFont="0" applyFill="0" applyBorder="0" applyAlignment="0" applyProtection="0"/>
  </cellStyleXfs>
  <cellXfs count="231">
    <xf numFmtId="0" fontId="0" fillId="0" borderId="0" xfId="0"/>
    <xf numFmtId="0" fontId="0" fillId="0" borderId="0" xfId="0"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xf>
    <xf numFmtId="0" fontId="3" fillId="0" borderId="0" xfId="0" applyFont="1"/>
    <xf numFmtId="0" fontId="5" fillId="0" borderId="1" xfId="0" applyFont="1" applyBorder="1" applyAlignment="1">
      <alignment horizontal="center" vertical="center"/>
    </xf>
    <xf numFmtId="0" fontId="3" fillId="0" borderId="0" xfId="0" applyFont="1" applyFill="1" applyBorder="1" applyAlignment="1">
      <alignment horizontal="right" vertical="center"/>
    </xf>
    <xf numFmtId="4" fontId="3" fillId="0" borderId="0" xfId="0" applyNumberFormat="1" applyFont="1" applyBorder="1" applyAlignment="1">
      <alignment horizontal="center" vertical="center"/>
    </xf>
    <xf numFmtId="4" fontId="5" fillId="0" borderId="1" xfId="0" applyNumberFormat="1" applyFont="1" applyBorder="1" applyAlignment="1">
      <alignment horizontal="center" vertical="center"/>
    </xf>
    <xf numFmtId="0" fontId="9" fillId="0" borderId="0" xfId="0" applyFont="1"/>
    <xf numFmtId="4" fontId="13" fillId="0" borderId="1" xfId="0" applyNumberFormat="1" applyFont="1" applyBorder="1"/>
    <xf numFmtId="4" fontId="14" fillId="0" borderId="1" xfId="0" applyNumberFormat="1" applyFont="1" applyBorder="1"/>
    <xf numFmtId="4" fontId="3" fillId="2" borderId="1" xfId="0" applyNumberFormat="1" applyFont="1" applyFill="1" applyBorder="1" applyAlignment="1">
      <alignment horizontal="center" vertical="center"/>
    </xf>
    <xf numFmtId="0" fontId="17" fillId="2" borderId="0" xfId="0" applyFont="1" applyFill="1"/>
    <xf numFmtId="0" fontId="10" fillId="0" borderId="1" xfId="0" applyFont="1" applyBorder="1" applyAlignment="1">
      <alignment horizontal="center" vertical="center"/>
    </xf>
    <xf numFmtId="10" fontId="3" fillId="0" borderId="1" xfId="0" applyNumberFormat="1" applyFont="1" applyFill="1" applyBorder="1" applyAlignment="1">
      <alignment vertical="center"/>
    </xf>
    <xf numFmtId="0" fontId="3" fillId="0" borderId="1" xfId="0" applyFont="1" applyFill="1" applyBorder="1" applyAlignment="1">
      <alignment vertical="center"/>
    </xf>
    <xf numFmtId="0" fontId="10" fillId="0" borderId="1" xfId="0" applyFont="1" applyBorder="1" applyAlignment="1">
      <alignment horizontal="center" vertical="center"/>
    </xf>
    <xf numFmtId="0" fontId="0" fillId="0" borderId="0" xfId="0" applyBorder="1"/>
    <xf numFmtId="49" fontId="25" fillId="0" borderId="0" xfId="0" applyNumberFormat="1" applyFont="1" applyFill="1" applyBorder="1" applyAlignment="1" applyProtection="1">
      <alignment vertical="center" wrapText="1"/>
      <protection locked="0"/>
    </xf>
    <xf numFmtId="0" fontId="19" fillId="0" borderId="0" xfId="0" applyFont="1" applyBorder="1"/>
    <xf numFmtId="0" fontId="3" fillId="0" borderId="0" xfId="0" applyFont="1" applyBorder="1" applyAlignment="1">
      <alignment horizontal="center" vertical="top"/>
    </xf>
    <xf numFmtId="0" fontId="9" fillId="0" borderId="0" xfId="0" applyFont="1" applyBorder="1" applyAlignment="1">
      <alignment horizontal="center" vertical="top"/>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9" fillId="0" borderId="0" xfId="0" applyNumberFormat="1" applyFont="1"/>
    <xf numFmtId="0" fontId="17" fillId="2" borderId="0" xfId="0" applyNumberFormat="1" applyFont="1" applyFill="1"/>
    <xf numFmtId="4" fontId="30" fillId="0" borderId="1" xfId="1" applyNumberFormat="1" applyFont="1" applyBorder="1" applyAlignment="1">
      <alignment horizontal="right" vertical="top" wrapText="1"/>
    </xf>
    <xf numFmtId="4" fontId="3" fillId="0" borderId="1" xfId="0" applyNumberFormat="1" applyFont="1" applyBorder="1" applyAlignment="1">
      <alignment horizontal="left" vertical="center"/>
    </xf>
    <xf numFmtId="4" fontId="30" fillId="0" borderId="3" xfId="1" applyNumberFormat="1" applyFont="1" applyBorder="1" applyAlignment="1">
      <alignment horizontal="right" vertical="top" wrapText="1"/>
    </xf>
    <xf numFmtId="4" fontId="30" fillId="0" borderId="7" xfId="1" applyNumberFormat="1" applyFont="1" applyBorder="1" applyAlignment="1">
      <alignment horizontal="right" vertical="top" wrapText="1"/>
    </xf>
    <xf numFmtId="4" fontId="30" fillId="0" borderId="4" xfId="1" applyNumberFormat="1" applyFont="1" applyBorder="1" applyAlignment="1">
      <alignment horizontal="right" vertical="top" wrapText="1"/>
    </xf>
    <xf numFmtId="0" fontId="5" fillId="0" borderId="6" xfId="0" applyFont="1" applyBorder="1" applyAlignment="1">
      <alignment horizontal="center" vertical="center"/>
    </xf>
    <xf numFmtId="0" fontId="7"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left" vertical="center"/>
    </xf>
    <xf numFmtId="0" fontId="3" fillId="0" borderId="7" xfId="0" applyFont="1" applyBorder="1" applyAlignment="1">
      <alignment horizontal="left" vertical="center" wrapText="1"/>
    </xf>
    <xf numFmtId="4" fontId="3" fillId="2" borderId="7" xfId="0" applyNumberFormat="1" applyFont="1" applyFill="1" applyBorder="1" applyAlignment="1">
      <alignment horizontal="center" vertical="center"/>
    </xf>
    <xf numFmtId="4" fontId="3" fillId="0" borderId="7" xfId="0" applyNumberFormat="1" applyFont="1" applyBorder="1" applyAlignment="1">
      <alignment horizontal="center" vertical="center"/>
    </xf>
    <xf numFmtId="0" fontId="3" fillId="0" borderId="2" xfId="0" applyFont="1" applyBorder="1" applyAlignment="1"/>
    <xf numFmtId="0" fontId="3" fillId="0" borderId="4" xfId="0" applyFont="1" applyBorder="1" applyAlignment="1"/>
    <xf numFmtId="0" fontId="3" fillId="0" borderId="3" xfId="0" applyFont="1" applyBorder="1" applyAlignment="1"/>
    <xf numFmtId="164" fontId="9" fillId="0" borderId="0" xfId="0" applyNumberFormat="1" applyFont="1"/>
    <xf numFmtId="164" fontId="16" fillId="0" borderId="0" xfId="0" applyNumberFormat="1" applyFont="1" applyFill="1" applyAlignment="1">
      <alignment horizontal="left"/>
    </xf>
    <xf numFmtId="164" fontId="17" fillId="0" borderId="0" xfId="0" applyNumberFormat="1" applyFont="1" applyFill="1" applyAlignment="1">
      <alignment horizontal="left"/>
    </xf>
    <xf numFmtId="164" fontId="17" fillId="0" borderId="0" xfId="0" applyNumberFormat="1" applyFont="1" applyFill="1" applyAlignment="1">
      <alignment horizontal="center"/>
    </xf>
    <xf numFmtId="164" fontId="17" fillId="0" borderId="0" xfId="0" applyNumberFormat="1" applyFont="1" applyFill="1"/>
    <xf numFmtId="4" fontId="30" fillId="0" borderId="2" xfId="1" applyNumberFormat="1" applyFont="1" applyBorder="1" applyAlignment="1">
      <alignment horizontal="centerContinuous" vertical="top" wrapText="1"/>
    </xf>
    <xf numFmtId="4" fontId="30" fillId="0" borderId="3" xfId="1" applyNumberFormat="1" applyFont="1" applyBorder="1" applyAlignment="1">
      <alignment horizontal="centerContinuous" vertical="top" wrapText="1"/>
    </xf>
    <xf numFmtId="0" fontId="34" fillId="0" borderId="0" xfId="0" applyFont="1"/>
    <xf numFmtId="0" fontId="36" fillId="0" borderId="28" xfId="0" applyFont="1" applyBorder="1" applyAlignment="1">
      <alignment horizontal="center" vertical="center"/>
    </xf>
    <xf numFmtId="0" fontId="36" fillId="0" borderId="29" xfId="0" applyFont="1" applyBorder="1" applyAlignment="1">
      <alignment horizontal="center" vertical="center"/>
    </xf>
    <xf numFmtId="0" fontId="37" fillId="0" borderId="29" xfId="0" applyFont="1" applyBorder="1" applyAlignment="1">
      <alignment horizontal="center" vertical="center"/>
    </xf>
    <xf numFmtId="0" fontId="37" fillId="0" borderId="30" xfId="0" applyFont="1" applyBorder="1" applyAlignment="1">
      <alignment horizontal="center" vertical="center"/>
    </xf>
    <xf numFmtId="0" fontId="37" fillId="0" borderId="28" xfId="0" applyFont="1" applyBorder="1" applyAlignment="1">
      <alignment horizontal="center" vertical="center"/>
    </xf>
    <xf numFmtId="0" fontId="12" fillId="0" borderId="26" xfId="0" applyFont="1" applyBorder="1" applyAlignment="1">
      <alignment horizontal="center" vertical="center"/>
    </xf>
    <xf numFmtId="0" fontId="12" fillId="0" borderId="7" xfId="0" applyFont="1" applyBorder="1" applyAlignment="1">
      <alignment horizontal="left" vertical="center"/>
    </xf>
    <xf numFmtId="0" fontId="12" fillId="0" borderId="27" xfId="0" applyFont="1" applyBorder="1" applyAlignment="1">
      <alignment horizontal="center" vertical="center"/>
    </xf>
    <xf numFmtId="0" fontId="36" fillId="0" borderId="26" xfId="0" applyFont="1" applyBorder="1"/>
    <xf numFmtId="0" fontId="36" fillId="0" borderId="7" xfId="0" applyFont="1" applyBorder="1"/>
    <xf numFmtId="0" fontId="36" fillId="0" borderId="27" xfId="0" applyFont="1" applyBorder="1"/>
    <xf numFmtId="0" fontId="12" fillId="0" borderId="19" xfId="0" applyFont="1" applyBorder="1" applyAlignment="1">
      <alignment horizontal="center" vertical="center"/>
    </xf>
    <xf numFmtId="0" fontId="12" fillId="0" borderId="1" xfId="0" applyFont="1" applyBorder="1" applyAlignment="1">
      <alignment horizontal="left" vertical="center"/>
    </xf>
    <xf numFmtId="0" fontId="12" fillId="0" borderId="20" xfId="0" applyFont="1" applyBorder="1" applyAlignment="1">
      <alignment horizontal="center" vertical="center"/>
    </xf>
    <xf numFmtId="0" fontId="36" fillId="0" borderId="19" xfId="0" applyFont="1" applyBorder="1"/>
    <xf numFmtId="0" fontId="36" fillId="0" borderId="1" xfId="0" applyFont="1" applyBorder="1"/>
    <xf numFmtId="0" fontId="36" fillId="0" borderId="20" xfId="0" applyFont="1" applyBorder="1"/>
    <xf numFmtId="0" fontId="12" fillId="0" borderId="6" xfId="0" applyFont="1" applyBorder="1" applyAlignment="1">
      <alignment horizontal="left" vertical="center"/>
    </xf>
    <xf numFmtId="0" fontId="12" fillId="0" borderId="32" xfId="0" applyFont="1" applyBorder="1" applyAlignment="1">
      <alignment horizontal="center" vertical="center"/>
    </xf>
    <xf numFmtId="0" fontId="36" fillId="0" borderId="33" xfId="0" applyFont="1" applyBorder="1"/>
    <xf numFmtId="0" fontId="36" fillId="0" borderId="6" xfId="0" applyFont="1" applyBorder="1"/>
    <xf numFmtId="0" fontId="36" fillId="0" borderId="32" xfId="0" applyFont="1" applyBorder="1"/>
    <xf numFmtId="0" fontId="12" fillId="0" borderId="22" xfId="0" applyFont="1" applyBorder="1" applyAlignment="1">
      <alignment horizontal="left" vertical="center"/>
    </xf>
    <xf numFmtId="0" fontId="12" fillId="0" borderId="23" xfId="0" applyFont="1" applyBorder="1" applyAlignment="1">
      <alignment horizontal="center" vertical="center"/>
    </xf>
    <xf numFmtId="0" fontId="36" fillId="0" borderId="21" xfId="0" applyFont="1" applyBorder="1"/>
    <xf numFmtId="0" fontId="36" fillId="0" borderId="22" xfId="0" applyFont="1" applyBorder="1"/>
    <xf numFmtId="0" fontId="36" fillId="0" borderId="23" xfId="0" applyFont="1" applyBorder="1"/>
    <xf numFmtId="0" fontId="12" fillId="0" borderId="0" xfId="0" applyFont="1"/>
    <xf numFmtId="0" fontId="29" fillId="0" borderId="0" xfId="0" applyFont="1" applyFill="1" applyAlignment="1"/>
    <xf numFmtId="0" fontId="10" fillId="0" borderId="1" xfId="0" applyFont="1" applyFill="1" applyBorder="1" applyAlignment="1">
      <alignment horizontal="center" vertical="center" wrapText="1"/>
    </xf>
    <xf numFmtId="0" fontId="0" fillId="0" borderId="0" xfId="0" applyNumberFormat="1"/>
    <xf numFmtId="0" fontId="10" fillId="0" borderId="1" xfId="0" applyFont="1" applyBorder="1" applyAlignment="1">
      <alignment horizontal="left" vertical="center"/>
    </xf>
    <xf numFmtId="0" fontId="5" fillId="0" borderId="1" xfId="0" applyFont="1" applyBorder="1" applyAlignment="1">
      <alignment horizontal="center" vertical="center"/>
    </xf>
    <xf numFmtId="4" fontId="30" fillId="0" borderId="1" xfId="1" applyNumberFormat="1" applyFont="1" applyBorder="1" applyAlignment="1">
      <alignment horizontal="center" vertical="center" wrapText="1"/>
    </xf>
    <xf numFmtId="0" fontId="14" fillId="0" borderId="0" xfId="0" applyFont="1"/>
    <xf numFmtId="4" fontId="30" fillId="3" borderId="1" xfId="2" applyNumberFormat="1" applyFont="1" applyFill="1" applyBorder="1" applyAlignment="1">
      <alignment horizontal="center" vertical="center" wrapText="1"/>
    </xf>
    <xf numFmtId="0" fontId="41" fillId="0" borderId="1" xfId="2" applyFont="1" applyBorder="1" applyAlignment="1">
      <alignment horizontal="center" vertical="center" wrapText="1"/>
    </xf>
    <xf numFmtId="0" fontId="10" fillId="0" borderId="7" xfId="0" applyFont="1" applyBorder="1" applyAlignment="1">
      <alignment horizontal="left" vertical="center"/>
    </xf>
    <xf numFmtId="0" fontId="10" fillId="0" borderId="4" xfId="0" applyFont="1" applyBorder="1" applyAlignment="1"/>
    <xf numFmtId="4" fontId="10" fillId="0" borderId="1" xfId="0" applyNumberFormat="1" applyFont="1" applyBorder="1" applyAlignment="1">
      <alignment horizontal="left" vertical="center"/>
    </xf>
    <xf numFmtId="0" fontId="10" fillId="0" borderId="0" xfId="0" applyFont="1"/>
    <xf numFmtId="0" fontId="40" fillId="0" borderId="0" xfId="0" applyFont="1"/>
    <xf numFmtId="10" fontId="10" fillId="0"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pplyAlignment="1">
      <alignment horizontal="center" vertical="center"/>
    </xf>
    <xf numFmtId="0" fontId="10" fillId="0" borderId="1" xfId="0" applyFont="1" applyFill="1" applyBorder="1" applyAlignment="1">
      <alignment vertical="center" wrapText="1"/>
    </xf>
    <xf numFmtId="0" fontId="40" fillId="0" borderId="0" xfId="0" applyFont="1" applyBorder="1"/>
    <xf numFmtId="49" fontId="42" fillId="0" borderId="0" xfId="0" applyNumberFormat="1" applyFont="1" applyFill="1" applyBorder="1" applyAlignment="1" applyProtection="1">
      <alignment vertical="center" wrapText="1"/>
      <protection locked="0"/>
    </xf>
    <xf numFmtId="4" fontId="44" fillId="0" borderId="7" xfId="1" applyNumberFormat="1" applyFont="1" applyBorder="1" applyAlignment="1">
      <alignment horizontal="right" vertical="top" wrapText="1"/>
    </xf>
    <xf numFmtId="4" fontId="44" fillId="3" borderId="1" xfId="2" applyNumberFormat="1" applyFont="1" applyFill="1" applyBorder="1" applyAlignment="1">
      <alignment horizontal="center" vertical="center" wrapText="1"/>
    </xf>
    <xf numFmtId="0" fontId="41" fillId="4" borderId="1" xfId="2" applyFont="1" applyFill="1" applyBorder="1" applyAlignment="1">
      <alignment horizontal="center" vertical="center" wrapText="1"/>
    </xf>
    <xf numFmtId="4" fontId="45"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xf>
    <xf numFmtId="4" fontId="9" fillId="0" borderId="1" xfId="0" applyNumberFormat="1" applyFont="1" applyBorder="1" applyAlignment="1">
      <alignment horizontal="center" vertical="center"/>
    </xf>
    <xf numFmtId="4" fontId="9" fillId="0" borderId="0" xfId="0" applyNumberFormat="1" applyFont="1"/>
    <xf numFmtId="0" fontId="44" fillId="0" borderId="2" xfId="5" applyNumberFormat="1" applyFont="1" applyFill="1" applyBorder="1" applyAlignment="1" applyProtection="1">
      <alignment horizontal="left" vertical="top"/>
    </xf>
    <xf numFmtId="49" fontId="46" fillId="0" borderId="4" xfId="5" applyNumberFormat="1" applyFont="1" applyFill="1" applyBorder="1" applyAlignment="1" applyProtection="1">
      <alignment horizontal="left" vertical="top" wrapText="1"/>
    </xf>
    <xf numFmtId="0" fontId="47" fillId="0" borderId="4" xfId="5" applyNumberFormat="1" applyFont="1" applyFill="1" applyBorder="1" applyAlignment="1" applyProtection="1">
      <alignment vertical="top" wrapText="1"/>
    </xf>
    <xf numFmtId="49" fontId="48" fillId="0" borderId="4" xfId="5" applyNumberFormat="1" applyFont="1" applyFill="1" applyBorder="1" applyAlignment="1" applyProtection="1">
      <alignment horizontal="center" vertical="top" wrapText="1"/>
    </xf>
    <xf numFmtId="49" fontId="47" fillId="0" borderId="4" xfId="5" applyNumberFormat="1" applyFont="1" applyFill="1" applyBorder="1" applyAlignment="1" applyProtection="1">
      <alignment horizontal="center" vertical="top" wrapText="1"/>
    </xf>
    <xf numFmtId="164" fontId="47" fillId="0" borderId="4" xfId="5" applyNumberFormat="1" applyFont="1" applyFill="1" applyBorder="1" applyAlignment="1" applyProtection="1">
      <alignment horizontal="center" vertical="top" wrapText="1"/>
    </xf>
    <xf numFmtId="164" fontId="47" fillId="3" borderId="4" xfId="5" applyNumberFormat="1" applyFont="1" applyFill="1" applyBorder="1" applyAlignment="1" applyProtection="1">
      <alignment horizontal="center" vertical="top" wrapText="1"/>
    </xf>
    <xf numFmtId="0" fontId="46" fillId="0" borderId="1" xfId="6" applyNumberFormat="1" applyFont="1" applyFill="1" applyBorder="1" applyAlignment="1" applyProtection="1">
      <alignment horizontal="center" vertical="top" wrapText="1"/>
    </xf>
    <xf numFmtId="49" fontId="46" fillId="0" borderId="1" xfId="6" applyNumberFormat="1" applyFont="1" applyFill="1" applyBorder="1" applyAlignment="1" applyProtection="1">
      <alignment horizontal="left" vertical="top" wrapText="1"/>
    </xf>
    <xf numFmtId="0" fontId="46" fillId="0" borderId="1" xfId="6" applyNumberFormat="1" applyFont="1" applyFill="1" applyBorder="1" applyAlignment="1" applyProtection="1">
      <alignment horizontal="left" vertical="top" wrapText="1"/>
    </xf>
    <xf numFmtId="0" fontId="49" fillId="0" borderId="1" xfId="6" applyNumberFormat="1" applyFont="1" applyFill="1" applyBorder="1" applyAlignment="1" applyProtection="1">
      <alignment horizontal="center" vertical="top" wrapText="1"/>
    </xf>
    <xf numFmtId="49" fontId="46" fillId="0" borderId="1" xfId="6" applyNumberFormat="1" applyFont="1" applyFill="1" applyBorder="1" applyAlignment="1" applyProtection="1">
      <alignment horizontal="center" vertical="top" wrapText="1"/>
    </xf>
    <xf numFmtId="2" fontId="46" fillId="0" borderId="1" xfId="6" applyNumberFormat="1" applyFont="1" applyFill="1" applyBorder="1" applyAlignment="1" applyProtection="1">
      <alignment horizontal="center" vertical="top" wrapText="1"/>
    </xf>
    <xf numFmtId="0" fontId="47" fillId="0" borderId="1" xfId="6" applyNumberFormat="1" applyFont="1" applyFill="1" applyBorder="1" applyAlignment="1" applyProtection="1">
      <alignment horizontal="center" vertical="top" wrapText="1"/>
    </xf>
    <xf numFmtId="0" fontId="47" fillId="0" borderId="1" xfId="6" applyNumberFormat="1" applyFont="1" applyFill="1" applyBorder="1" applyAlignment="1" applyProtection="1">
      <alignment horizontal="left" vertical="top" wrapText="1"/>
    </xf>
    <xf numFmtId="49" fontId="47" fillId="0" borderId="1" xfId="6" applyNumberFormat="1" applyFont="1" applyFill="1" applyBorder="1" applyAlignment="1" applyProtection="1">
      <alignment horizontal="center" vertical="top" wrapText="1"/>
    </xf>
    <xf numFmtId="2" fontId="47" fillId="0" borderId="1" xfId="6" applyNumberFormat="1" applyFont="1" applyFill="1" applyBorder="1" applyAlignment="1" applyProtection="1">
      <alignment horizontal="center" vertical="top" wrapText="1"/>
    </xf>
    <xf numFmtId="0" fontId="48" fillId="0" borderId="1" xfId="6" applyNumberFormat="1" applyFont="1" applyFill="1" applyBorder="1" applyAlignment="1" applyProtection="1">
      <alignment horizontal="center" vertical="top" wrapText="1"/>
    </xf>
    <xf numFmtId="0" fontId="9" fillId="0" borderId="0" xfId="0" applyFont="1" applyFill="1"/>
    <xf numFmtId="0" fontId="19" fillId="0" borderId="11" xfId="0" applyFont="1" applyFill="1" applyBorder="1" applyAlignment="1">
      <alignment horizontal="left" vertical="center" wrapText="1"/>
    </xf>
    <xf numFmtId="0" fontId="5" fillId="0" borderId="0" xfId="0" applyFont="1" applyAlignment="1">
      <alignment horizontal="right" vertical="center" wrapText="1"/>
    </xf>
    <xf numFmtId="0" fontId="10" fillId="0" borderId="2" xfId="0" applyFont="1" applyBorder="1" applyAlignment="1">
      <alignment horizontal="lef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1" xfId="0" applyFont="1" applyFill="1" applyBorder="1" applyAlignment="1">
      <alignment horizontal="right" vertical="center"/>
    </xf>
    <xf numFmtId="0" fontId="5" fillId="0" borderId="1" xfId="0" applyFont="1" applyFill="1" applyBorder="1" applyAlignment="1">
      <alignment horizontal="right" vertical="center"/>
    </xf>
    <xf numFmtId="49" fontId="3" fillId="2" borderId="2"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10" fillId="0" borderId="1" xfId="0" applyNumberFormat="1" applyFont="1" applyFill="1" applyBorder="1" applyAlignment="1">
      <alignment horizontal="right" vertical="center"/>
    </xf>
    <xf numFmtId="9" fontId="3" fillId="2" borderId="2" xfId="7" applyFont="1" applyFill="1" applyBorder="1" applyAlignment="1">
      <alignment horizontal="center" vertical="center"/>
    </xf>
    <xf numFmtId="9" fontId="3" fillId="2" borderId="4" xfId="7" applyFont="1" applyFill="1" applyBorder="1" applyAlignment="1">
      <alignment horizontal="center" vertical="center"/>
    </xf>
    <xf numFmtId="9" fontId="3" fillId="2" borderId="3" xfId="7" applyFont="1" applyFill="1" applyBorder="1" applyAlignment="1">
      <alignment horizontal="center" vertical="center"/>
    </xf>
    <xf numFmtId="0" fontId="4" fillId="0" borderId="11" xfId="0" applyFont="1" applyBorder="1" applyAlignment="1">
      <alignment horizontal="center" vertical="top"/>
    </xf>
    <xf numFmtId="0" fontId="38" fillId="2" borderId="0" xfId="0" applyFont="1" applyFill="1" applyAlignment="1">
      <alignment horizontal="left"/>
    </xf>
    <xf numFmtId="0" fontId="39" fillId="0" borderId="0" xfId="0" applyFont="1" applyFill="1" applyAlignment="1">
      <alignment horizontal="left" vertical="center" wrapText="1"/>
    </xf>
    <xf numFmtId="0" fontId="5" fillId="0" borderId="0" xfId="0" applyFont="1" applyFill="1" applyAlignment="1">
      <alignment horizontal="center" vertical="center" wrapText="1"/>
    </xf>
    <xf numFmtId="0" fontId="43" fillId="0" borderId="0" xfId="0" applyFont="1" applyAlignment="1">
      <alignment horizontal="center" vertical="top"/>
    </xf>
    <xf numFmtId="0" fontId="6" fillId="0" borderId="0" xfId="0" applyFont="1" applyFill="1" applyAlignment="1">
      <alignment horizontal="right"/>
    </xf>
    <xf numFmtId="165" fontId="6" fillId="2" borderId="0" xfId="0" applyNumberFormat="1" applyFont="1" applyFill="1" applyAlignment="1">
      <alignment horizontal="left"/>
    </xf>
    <xf numFmtId="0" fontId="19" fillId="0" borderId="11" xfId="0" applyFont="1" applyBorder="1" applyAlignment="1">
      <alignment horizontal="left" vertical="center" wrapText="1"/>
    </xf>
    <xf numFmtId="0" fontId="19" fillId="2" borderId="4" xfId="0" applyFont="1" applyFill="1" applyBorder="1" applyAlignment="1">
      <alignment horizontal="left" vertical="center" wrapText="1"/>
    </xf>
    <xf numFmtId="49" fontId="20" fillId="0" borderId="1" xfId="3" applyNumberFormat="1" applyFont="1" applyBorder="1" applyAlignment="1" applyProtection="1">
      <alignment horizontal="left" vertical="center" wrapText="1"/>
    </xf>
    <xf numFmtId="49" fontId="23" fillId="0" borderId="1" xfId="3" applyNumberFormat="1" applyFont="1" applyBorder="1" applyAlignment="1" applyProtection="1">
      <alignment horizontal="left" vertical="center" wrapText="1"/>
    </xf>
    <xf numFmtId="0" fontId="20" fillId="0" borderId="2"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wrapText="1"/>
    </xf>
    <xf numFmtId="0" fontId="10" fillId="0" borderId="1" xfId="0" applyFont="1" applyBorder="1" applyAlignment="1">
      <alignment horizontal="center" vertical="center"/>
    </xf>
    <xf numFmtId="49" fontId="23" fillId="0" borderId="14" xfId="3" applyNumberFormat="1" applyFont="1" applyBorder="1" applyAlignment="1" applyProtection="1">
      <alignment horizontal="left" vertical="center" wrapText="1"/>
    </xf>
    <xf numFmtId="49" fontId="23" fillId="0" borderId="15" xfId="3" applyNumberFormat="1" applyFont="1" applyBorder="1" applyAlignment="1" applyProtection="1">
      <alignment horizontal="left" vertical="center" wrapText="1"/>
    </xf>
    <xf numFmtId="49" fontId="20" fillId="0" borderId="14" xfId="3" applyNumberFormat="1" applyFont="1" applyBorder="1" applyAlignment="1" applyProtection="1">
      <alignment horizontal="left" vertical="center" wrapText="1"/>
    </xf>
    <xf numFmtId="0" fontId="20" fillId="0" borderId="4"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xf>
    <xf numFmtId="49" fontId="23" fillId="0" borderId="12" xfId="3" applyNumberFormat="1" applyFont="1" applyBorder="1" applyAlignment="1" applyProtection="1">
      <alignment horizontal="left" vertical="center" wrapText="1"/>
    </xf>
    <xf numFmtId="49" fontId="23" fillId="0" borderId="13" xfId="3" applyNumberFormat="1" applyFont="1" applyBorder="1" applyAlignment="1" applyProtection="1">
      <alignment horizontal="left" vertical="center" wrapText="1"/>
    </xf>
    <xf numFmtId="0" fontId="11" fillId="0" borderId="0" xfId="0" applyFont="1" applyBorder="1" applyAlignment="1">
      <alignment horizontal="center" vertical="top"/>
    </xf>
    <xf numFmtId="49" fontId="26" fillId="0" borderId="11" xfId="3" applyNumberFormat="1" applyFont="1" applyBorder="1" applyAlignment="1" applyProtection="1">
      <alignment horizontal="center" vertical="center" wrapText="1"/>
    </xf>
    <xf numFmtId="49" fontId="26" fillId="0" borderId="0" xfId="3" applyNumberFormat="1" applyFont="1" applyBorder="1" applyAlignment="1" applyProtection="1">
      <alignment horizontal="right" vertical="center" wrapText="1"/>
    </xf>
    <xf numFmtId="49" fontId="7" fillId="0" borderId="11" xfId="3" applyNumberFormat="1" applyFont="1" applyBorder="1" applyAlignment="1" applyProtection="1">
      <alignment horizontal="left" vertical="center" wrapText="1"/>
    </xf>
    <xf numFmtId="49" fontId="26" fillId="0" borderId="11" xfId="3" applyNumberFormat="1" applyFont="1" applyBorder="1" applyAlignment="1" applyProtection="1">
      <alignment horizontal="left" vertical="center" wrapText="1"/>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4" fontId="3" fillId="0" borderId="2" xfId="0" applyNumberFormat="1" applyFont="1" applyBorder="1" applyAlignment="1">
      <alignment horizontal="center" vertical="center"/>
    </xf>
    <xf numFmtId="4" fontId="3" fillId="0" borderId="3" xfId="0" applyNumberFormat="1" applyFont="1" applyBorder="1" applyAlignment="1">
      <alignment horizontal="center" vertical="center"/>
    </xf>
    <xf numFmtId="0" fontId="15" fillId="0" borderId="2" xfId="0" applyFont="1" applyBorder="1" applyAlignment="1">
      <alignment horizontal="right"/>
    </xf>
    <xf numFmtId="0" fontId="15" fillId="0" borderId="4" xfId="0" applyFont="1" applyBorder="1" applyAlignment="1">
      <alignment horizontal="right"/>
    </xf>
    <xf numFmtId="0" fontId="15" fillId="0" borderId="3" xfId="0" applyFont="1" applyBorder="1" applyAlignment="1">
      <alignment horizontal="right"/>
    </xf>
    <xf numFmtId="0" fontId="14" fillId="0" borderId="2" xfId="0" applyFont="1" applyBorder="1" applyAlignment="1">
      <alignment horizontal="right"/>
    </xf>
    <xf numFmtId="0" fontId="14" fillId="0" borderId="4" xfId="0" applyFont="1" applyBorder="1" applyAlignment="1">
      <alignment horizontal="right"/>
    </xf>
    <xf numFmtId="0" fontId="14" fillId="0" borderId="3" xfId="0" applyFont="1" applyBorder="1" applyAlignment="1">
      <alignment horizontal="right"/>
    </xf>
    <xf numFmtId="0" fontId="13" fillId="0" borderId="2" xfId="0" applyFont="1" applyBorder="1" applyAlignment="1">
      <alignment horizontal="right"/>
    </xf>
    <xf numFmtId="0" fontId="13" fillId="0" borderId="4" xfId="0" applyFont="1" applyBorder="1" applyAlignment="1">
      <alignment horizontal="right"/>
    </xf>
    <xf numFmtId="0" fontId="13" fillId="0" borderId="3" xfId="0" applyFont="1" applyBorder="1" applyAlignment="1">
      <alignment horizontal="right"/>
    </xf>
    <xf numFmtId="49" fontId="30" fillId="0" borderId="2" xfId="1" applyNumberFormat="1" applyFont="1" applyFill="1" applyBorder="1" applyAlignment="1" applyProtection="1">
      <alignment horizontal="center" vertical="center" wrapText="1"/>
    </xf>
    <xf numFmtId="49" fontId="30" fillId="0" borderId="4" xfId="1" applyNumberFormat="1" applyFont="1" applyFill="1" applyBorder="1" applyAlignment="1" applyProtection="1">
      <alignment horizontal="center" vertical="center" wrapText="1"/>
    </xf>
    <xf numFmtId="49" fontId="30" fillId="0" borderId="3" xfId="1" applyNumberFormat="1" applyFont="1" applyFill="1" applyBorder="1" applyAlignment="1" applyProtection="1">
      <alignment horizontal="center" vertical="center" wrapText="1"/>
    </xf>
    <xf numFmtId="49" fontId="30" fillId="0" borderId="6" xfId="1" applyNumberFormat="1" applyFont="1" applyFill="1" applyBorder="1" applyAlignment="1" applyProtection="1">
      <alignment horizontal="center" vertical="center" wrapText="1"/>
    </xf>
    <xf numFmtId="49" fontId="30" fillId="0" borderId="8" xfId="1" applyNumberFormat="1" applyFont="1" applyFill="1" applyBorder="1" applyAlignment="1" applyProtection="1">
      <alignment horizontal="center" vertical="center" wrapText="1"/>
    </xf>
    <xf numFmtId="0" fontId="30" fillId="0" borderId="6" xfId="1" applyNumberFormat="1" applyFont="1" applyFill="1" applyBorder="1" applyAlignment="1" applyProtection="1">
      <alignment horizontal="center" vertical="center" wrapText="1"/>
    </xf>
    <xf numFmtId="0" fontId="30" fillId="0" borderId="8" xfId="1" applyNumberFormat="1" applyFont="1" applyFill="1" applyBorder="1" applyAlignment="1" applyProtection="1">
      <alignment horizontal="center" vertical="center" wrapText="1"/>
    </xf>
    <xf numFmtId="49" fontId="30" fillId="0" borderId="9" xfId="1" applyNumberFormat="1" applyFont="1" applyFill="1" applyBorder="1" applyAlignment="1" applyProtection="1">
      <alignment horizontal="center" vertical="center" wrapText="1"/>
    </xf>
    <xf numFmtId="49" fontId="30" fillId="0" borderId="10" xfId="1" applyNumberFormat="1" applyFont="1" applyFill="1" applyBorder="1" applyAlignment="1" applyProtection="1">
      <alignment horizontal="center" vertical="center" wrapText="1"/>
    </xf>
    <xf numFmtId="164" fontId="30" fillId="0" borderId="6" xfId="1" applyNumberFormat="1" applyFont="1" applyFill="1" applyBorder="1" applyAlignment="1" applyProtection="1">
      <alignment horizontal="center" vertical="center" wrapText="1"/>
    </xf>
    <xf numFmtId="164" fontId="30" fillId="0" borderId="8" xfId="1" applyNumberFormat="1" applyFont="1" applyFill="1" applyBorder="1" applyAlignment="1" applyProtection="1">
      <alignment horizontal="center" vertical="center" wrapText="1"/>
    </xf>
    <xf numFmtId="164" fontId="30" fillId="3" borderId="6" xfId="1" applyNumberFormat="1" applyFont="1" applyFill="1" applyBorder="1" applyAlignment="1" applyProtection="1">
      <alignment horizontal="center" vertical="center" wrapText="1"/>
    </xf>
    <xf numFmtId="164" fontId="30" fillId="3" borderId="8" xfId="1" applyNumberFormat="1" applyFont="1" applyFill="1" applyBorder="1" applyAlignment="1" applyProtection="1">
      <alignment horizontal="center" vertical="center" wrapText="1"/>
    </xf>
    <xf numFmtId="164" fontId="30" fillId="3" borderId="7" xfId="1" applyNumberFormat="1" applyFont="1" applyFill="1" applyBorder="1" applyAlignment="1" applyProtection="1">
      <alignment horizontal="center" vertical="center" wrapText="1"/>
    </xf>
    <xf numFmtId="0" fontId="11" fillId="0" borderId="0" xfId="0" applyFont="1" applyFill="1" applyAlignment="1">
      <alignment horizontal="center" wrapText="1"/>
    </xf>
    <xf numFmtId="0" fontId="12" fillId="0" borderId="5" xfId="0" applyFont="1" applyBorder="1" applyAlignment="1">
      <alignment horizontal="center" vertical="top"/>
    </xf>
    <xf numFmtId="0" fontId="16" fillId="2" borderId="0" xfId="0" applyFont="1" applyFill="1" applyAlignment="1">
      <alignment horizontal="left"/>
    </xf>
    <xf numFmtId="0" fontId="17" fillId="2" borderId="0" xfId="0" applyFont="1" applyFill="1" applyAlignment="1">
      <alignment horizontal="left"/>
    </xf>
    <xf numFmtId="0" fontId="17" fillId="2" borderId="0" xfId="0" applyFont="1" applyFill="1" applyAlignment="1">
      <alignment horizontal="center"/>
    </xf>
    <xf numFmtId="0" fontId="10" fillId="0" borderId="0" xfId="0" applyFont="1" applyAlignment="1">
      <alignment horizontal="center"/>
    </xf>
    <xf numFmtId="49" fontId="41" fillId="0" borderId="6" xfId="1" applyNumberFormat="1" applyFont="1" applyFill="1" applyBorder="1" applyAlignment="1" applyProtection="1">
      <alignment horizontal="center" vertical="center" wrapText="1"/>
    </xf>
    <xf numFmtId="49" fontId="41" fillId="0" borderId="8" xfId="1" applyNumberFormat="1" applyFont="1" applyFill="1" applyBorder="1" applyAlignment="1" applyProtection="1">
      <alignment horizontal="center" vertical="center" wrapText="1"/>
    </xf>
    <xf numFmtId="49" fontId="41" fillId="0" borderId="7" xfId="1" applyNumberFormat="1" applyFont="1" applyFill="1" applyBorder="1" applyAlignment="1" applyProtection="1">
      <alignment horizontal="center" vertical="center" wrapText="1"/>
    </xf>
    <xf numFmtId="0" fontId="13" fillId="0" borderId="0" xfId="0" applyFont="1" applyAlignment="1">
      <alignment horizontal="center" vertical="center"/>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30" xfId="0" applyFont="1" applyBorder="1" applyAlignment="1">
      <alignment horizontal="center" vertical="center"/>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31" xfId="0" applyFont="1" applyBorder="1" applyAlignment="1">
      <alignment horizontal="left" vertical="center"/>
    </xf>
    <xf numFmtId="0" fontId="35" fillId="0" borderId="16" xfId="0" applyFont="1" applyBorder="1" applyAlignment="1">
      <alignment horizontal="center" vertical="center"/>
    </xf>
    <xf numFmtId="0" fontId="35" fillId="0" borderId="19" xfId="0" applyFont="1" applyBorder="1" applyAlignment="1">
      <alignment horizontal="center" vertical="center"/>
    </xf>
    <xf numFmtId="0" fontId="35" fillId="0" borderId="21" xfId="0" applyFont="1" applyBorder="1" applyAlignment="1">
      <alignment horizontal="center" vertical="center"/>
    </xf>
    <xf numFmtId="0" fontId="35" fillId="0" borderId="17" xfId="0" applyFont="1" applyBorder="1" applyAlignment="1">
      <alignment horizontal="center" vertical="center"/>
    </xf>
    <xf numFmtId="0" fontId="35" fillId="0" borderId="1" xfId="0" applyFont="1" applyBorder="1" applyAlignment="1">
      <alignment horizontal="center" vertical="center"/>
    </xf>
    <xf numFmtId="0" fontId="35" fillId="0" borderId="22" xfId="0" applyFont="1" applyBorder="1" applyAlignment="1">
      <alignment horizontal="center" vertical="center"/>
    </xf>
    <xf numFmtId="0" fontId="35" fillId="0" borderId="18" xfId="0" applyFont="1" applyBorder="1" applyAlignment="1">
      <alignment horizontal="center" vertical="center"/>
    </xf>
    <xf numFmtId="0" fontId="35" fillId="0" borderId="20" xfId="0" applyFont="1" applyBorder="1" applyAlignment="1">
      <alignment horizontal="center" vertical="center"/>
    </xf>
    <xf numFmtId="0" fontId="35" fillId="0" borderId="23" xfId="0" applyFont="1" applyBorder="1" applyAlignment="1">
      <alignment horizontal="center" vertical="center"/>
    </xf>
    <xf numFmtId="0" fontId="35" fillId="0" borderId="18"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3" xfId="0" applyFont="1" applyBorder="1" applyAlignment="1">
      <alignment horizontal="center" vertical="center" wrapText="1"/>
    </xf>
    <xf numFmtId="0" fontId="10" fillId="0" borderId="0" xfId="0" applyFont="1" applyAlignment="1">
      <alignment horizontal="center" vertical="center" wrapText="1"/>
    </xf>
  </cellXfs>
  <cellStyles count="8">
    <cellStyle name="Обычный" xfId="0" builtinId="0"/>
    <cellStyle name="Обычный 2" xfId="1" xr:uid="{F316AD0A-A76D-4B7C-854E-20CC9CC0DADF}"/>
    <cellStyle name="Обычный 3" xfId="2" xr:uid="{BC9CAD33-BFF4-4CE3-850C-AE48BC9A9CEC}"/>
    <cellStyle name="Обычный 4" xfId="3" xr:uid="{53F4C086-CA4C-476B-89CE-2C6B075555AC}"/>
    <cellStyle name="Обычный 4 2" xfId="4" xr:uid="{55EA5F9F-83E0-445A-AB1D-0272F037FC5E}"/>
    <cellStyle name="Обычный 5" xfId="5" xr:uid="{03902C3C-18D5-445C-B845-5BA2D393F9D0}"/>
    <cellStyle name="Обычный 6" xfId="6" xr:uid="{3091D09F-130C-4260-B61E-D6EA66B107D2}"/>
    <cellStyle name="Процентный" xfId="7" builtinId="5"/>
  </cellStyles>
  <dxfs count="18">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fill>
        <patternFill patternType="none">
          <bgColor auto="1"/>
        </patternFill>
      </fill>
    </dxf>
    <dxf>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font>
        <b val="0"/>
        <i val="0"/>
        <strike val="0"/>
        <color auto="1"/>
      </font>
      <fill>
        <patternFill>
          <bgColor theme="4"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P81"/>
  <sheetViews>
    <sheetView tabSelected="1" view="pageBreakPreview" zoomScale="70" zoomScaleNormal="70" zoomScaleSheetLayoutView="70" zoomScalePageLayoutView="55" workbookViewId="0">
      <selection activeCell="A2" sqref="A2:G2"/>
    </sheetView>
  </sheetViews>
  <sheetFormatPr defaultRowHeight="15" x14ac:dyDescent="0.25"/>
  <cols>
    <col min="1" max="1" width="7.7109375" customWidth="1"/>
    <col min="2" max="2" width="34.140625" customWidth="1"/>
    <col min="3" max="3" width="119.140625" bestFit="1" customWidth="1"/>
    <col min="4" max="4" width="11.28515625" customWidth="1"/>
    <col min="5" max="5" width="18.7109375" bestFit="1" customWidth="1"/>
    <col min="6" max="6" width="32.140625" customWidth="1"/>
    <col min="7" max="7" width="44.7109375" customWidth="1"/>
    <col min="8" max="8" width="77.85546875" style="93" customWidth="1"/>
    <col min="9" max="9" width="61.7109375" customWidth="1"/>
  </cols>
  <sheetData>
    <row r="1" spans="1:9" ht="20.25" x14ac:dyDescent="0.3">
      <c r="A1" s="143" t="s">
        <v>47</v>
      </c>
      <c r="B1" s="143"/>
      <c r="C1" s="143"/>
      <c r="D1" s="143"/>
      <c r="E1" s="143"/>
      <c r="F1" s="143"/>
      <c r="G1" s="143"/>
      <c r="H1" s="80"/>
      <c r="I1" s="80"/>
    </row>
    <row r="2" spans="1:9" ht="112.5" customHeight="1" x14ac:dyDescent="0.25">
      <c r="A2" s="144" t="s">
        <v>119</v>
      </c>
      <c r="B2" s="144"/>
      <c r="C2" s="144"/>
      <c r="D2" s="144"/>
      <c r="E2" s="144"/>
      <c r="F2" s="144"/>
      <c r="G2" s="144"/>
      <c r="H2" s="34" t="s">
        <v>48</v>
      </c>
      <c r="I2" s="34" t="s">
        <v>5</v>
      </c>
    </row>
    <row r="3" spans="1:9" ht="20.25" x14ac:dyDescent="0.3">
      <c r="A3" s="147" t="s">
        <v>120</v>
      </c>
      <c r="B3" s="147"/>
      <c r="C3" s="147"/>
      <c r="D3" s="148"/>
      <c r="E3" s="148"/>
      <c r="F3" s="148"/>
      <c r="G3" s="148"/>
      <c r="H3" s="83" t="s">
        <v>121</v>
      </c>
      <c r="I3" s="3"/>
    </row>
    <row r="4" spans="1:9" ht="41.25" customHeight="1" x14ac:dyDescent="0.25">
      <c r="A4" s="145" t="s">
        <v>149</v>
      </c>
      <c r="B4" s="145"/>
      <c r="C4" s="145"/>
      <c r="D4" s="145"/>
      <c r="E4" s="145"/>
      <c r="F4" s="145"/>
      <c r="G4" s="145"/>
      <c r="H4" s="89"/>
      <c r="I4" s="37"/>
    </row>
    <row r="5" spans="1:9" ht="19.5" x14ac:dyDescent="0.25">
      <c r="A5" s="146" t="s">
        <v>41</v>
      </c>
      <c r="B5" s="146"/>
      <c r="C5" s="146"/>
      <c r="D5" s="146"/>
      <c r="E5" s="146"/>
      <c r="F5" s="146"/>
      <c r="G5" s="146"/>
      <c r="H5" s="89"/>
      <c r="I5" s="37"/>
    </row>
    <row r="6" spans="1:9" ht="18.75" customHeight="1" x14ac:dyDescent="0.25">
      <c r="A6" s="128" t="s">
        <v>46</v>
      </c>
      <c r="B6" s="128"/>
      <c r="C6" s="149" t="s">
        <v>94</v>
      </c>
      <c r="D6" s="149"/>
      <c r="E6" s="149"/>
      <c r="F6" s="149"/>
      <c r="G6" s="149"/>
      <c r="H6" s="89"/>
      <c r="I6" s="37"/>
    </row>
    <row r="7" spans="1:9" ht="18.75" customHeight="1" x14ac:dyDescent="0.25">
      <c r="A7" s="128" t="s">
        <v>95</v>
      </c>
      <c r="B7" s="128"/>
      <c r="C7" s="149" t="s">
        <v>96</v>
      </c>
      <c r="D7" s="149"/>
      <c r="E7" s="149"/>
      <c r="F7" s="149"/>
      <c r="G7" s="149"/>
      <c r="H7" s="89"/>
      <c r="I7" s="37"/>
    </row>
    <row r="8" spans="1:9" ht="18.75" customHeight="1" x14ac:dyDescent="0.25">
      <c r="A8" s="128" t="s">
        <v>45</v>
      </c>
      <c r="B8" s="128"/>
      <c r="C8" s="150"/>
      <c r="D8" s="150"/>
      <c r="E8" s="150"/>
      <c r="F8" s="150"/>
      <c r="G8" s="150"/>
      <c r="H8" s="89"/>
      <c r="I8" s="37"/>
    </row>
    <row r="9" spans="1:9" ht="18.75" customHeight="1" x14ac:dyDescent="0.25">
      <c r="A9" s="128" t="s">
        <v>38</v>
      </c>
      <c r="B9" s="128"/>
      <c r="C9" s="149" t="s">
        <v>66</v>
      </c>
      <c r="D9" s="149"/>
      <c r="E9" s="149"/>
      <c r="F9" s="149"/>
      <c r="G9" s="149"/>
      <c r="H9" s="89"/>
      <c r="I9" s="37"/>
    </row>
    <row r="10" spans="1:9" ht="18.75" customHeight="1" x14ac:dyDescent="0.25">
      <c r="A10" s="128" t="s">
        <v>39</v>
      </c>
      <c r="B10" s="128"/>
      <c r="C10" s="149" t="s">
        <v>67</v>
      </c>
      <c r="D10" s="149"/>
      <c r="E10" s="149"/>
      <c r="F10" s="149"/>
      <c r="G10" s="149"/>
      <c r="H10" s="89"/>
      <c r="I10" s="37"/>
    </row>
    <row r="11" spans="1:9" ht="18.75" customHeight="1" x14ac:dyDescent="0.25">
      <c r="A11" s="128" t="s">
        <v>44</v>
      </c>
      <c r="B11" s="128"/>
      <c r="C11" s="127" t="s">
        <v>150</v>
      </c>
      <c r="D11" s="127"/>
      <c r="E11" s="127"/>
      <c r="F11" s="127"/>
      <c r="G11" s="127"/>
      <c r="H11" s="89"/>
      <c r="I11" s="37"/>
    </row>
    <row r="12" spans="1:9" ht="18.75" x14ac:dyDescent="0.25">
      <c r="A12" s="128" t="s">
        <v>51</v>
      </c>
      <c r="B12" s="128"/>
      <c r="C12" s="127" t="s">
        <v>147</v>
      </c>
      <c r="D12" s="127"/>
      <c r="E12" s="127"/>
      <c r="F12" s="127"/>
      <c r="G12" s="127"/>
      <c r="H12" s="89"/>
      <c r="I12" s="37"/>
    </row>
    <row r="13" spans="1:9" ht="18.75" x14ac:dyDescent="0.25">
      <c r="A13" s="128" t="s">
        <v>40</v>
      </c>
      <c r="B13" s="128"/>
      <c r="C13" s="127" t="s">
        <v>151</v>
      </c>
      <c r="D13" s="127"/>
      <c r="E13" s="127"/>
      <c r="F13" s="127"/>
      <c r="G13" s="127"/>
      <c r="H13" s="89"/>
      <c r="I13" s="37"/>
    </row>
    <row r="14" spans="1:9" ht="15.75" x14ac:dyDescent="0.25">
      <c r="A14" s="142"/>
      <c r="B14" s="142"/>
      <c r="C14" s="142"/>
      <c r="D14" s="142"/>
      <c r="E14" s="142"/>
      <c r="F14" s="142"/>
      <c r="G14" s="142"/>
      <c r="H14" s="89"/>
      <c r="I14" s="37"/>
    </row>
    <row r="15" spans="1:9" ht="39" customHeight="1" x14ac:dyDescent="0.25">
      <c r="A15" s="34" t="s">
        <v>0</v>
      </c>
      <c r="B15" s="34" t="s">
        <v>2</v>
      </c>
      <c r="C15" s="34" t="s">
        <v>1</v>
      </c>
      <c r="D15" s="34" t="s">
        <v>3</v>
      </c>
      <c r="E15" s="34" t="s">
        <v>4</v>
      </c>
      <c r="F15" s="35" t="s">
        <v>42</v>
      </c>
      <c r="G15" s="35" t="s">
        <v>43</v>
      </c>
      <c r="H15" s="89"/>
      <c r="I15" s="37"/>
    </row>
    <row r="16" spans="1:9" ht="15.75" x14ac:dyDescent="0.25">
      <c r="A16" s="41" t="s">
        <v>181</v>
      </c>
      <c r="B16" s="42"/>
      <c r="C16" s="42"/>
      <c r="D16" s="42"/>
      <c r="E16" s="42"/>
      <c r="F16" s="42"/>
      <c r="G16" s="42"/>
      <c r="H16" s="89"/>
      <c r="I16" s="37"/>
    </row>
    <row r="17" spans="1:10" ht="204.75" x14ac:dyDescent="0.25">
      <c r="A17" s="36">
        <v>1</v>
      </c>
      <c r="B17" s="37" t="s">
        <v>152</v>
      </c>
      <c r="C17" s="38" t="s">
        <v>182</v>
      </c>
      <c r="D17" s="36" t="s">
        <v>130</v>
      </c>
      <c r="E17" s="40">
        <f>SUMIF('ЛСР №1'!$B$17:$B$154,B17,'ЛСР №1'!$F$17:$F$154)</f>
        <v>40.79</v>
      </c>
      <c r="F17" s="39"/>
      <c r="G17" s="40">
        <f>F17*E17</f>
        <v>0</v>
      </c>
      <c r="H17" s="89"/>
      <c r="I17" s="37"/>
      <c r="J17" s="1"/>
    </row>
    <row r="18" spans="1:10" ht="157.5" x14ac:dyDescent="0.25">
      <c r="A18" s="2">
        <v>2</v>
      </c>
      <c r="B18" s="3" t="s">
        <v>159</v>
      </c>
      <c r="C18" s="4" t="s">
        <v>183</v>
      </c>
      <c r="D18" s="2" t="s">
        <v>130</v>
      </c>
      <c r="E18" s="5">
        <f>SUMIF('ЛСР №1'!$B$17:$B$154,B18,'ЛСР №1'!$F$17:$F$154)</f>
        <v>40.79</v>
      </c>
      <c r="F18" s="14"/>
      <c r="G18" s="5">
        <f>F18*E18</f>
        <v>0</v>
      </c>
      <c r="H18" s="83"/>
      <c r="I18" s="3"/>
      <c r="J18" s="1"/>
    </row>
    <row r="19" spans="1:10" ht="94.5" x14ac:dyDescent="0.25">
      <c r="A19" s="36">
        <v>3</v>
      </c>
      <c r="B19" s="3" t="s">
        <v>165</v>
      </c>
      <c r="C19" s="4" t="s">
        <v>187</v>
      </c>
      <c r="D19" s="2" t="s">
        <v>130</v>
      </c>
      <c r="E19" s="5">
        <f>SUMIF('ЛСР №1'!$B$17:$B$154,B19,'ЛСР №1'!$F$17:$F$154)</f>
        <v>4592.5</v>
      </c>
      <c r="F19" s="39"/>
      <c r="G19" s="5">
        <f>F19*E19</f>
        <v>0</v>
      </c>
      <c r="H19" s="83"/>
      <c r="I19" s="3"/>
      <c r="J19" s="1"/>
    </row>
    <row r="20" spans="1:10" ht="110.25" x14ac:dyDescent="0.25">
      <c r="A20" s="2">
        <v>4</v>
      </c>
      <c r="B20" s="3" t="s">
        <v>178</v>
      </c>
      <c r="C20" s="4" t="s">
        <v>184</v>
      </c>
      <c r="D20" s="2" t="s">
        <v>130</v>
      </c>
      <c r="E20" s="5">
        <f>SUMIF('ЛСР №1'!$B$17:$B$154,B20,'ЛСР №1'!$F$17:$F$154)</f>
        <v>2724.85</v>
      </c>
      <c r="F20" s="14"/>
      <c r="G20" s="5">
        <f t="shared" ref="G20:G22" si="0">F20*E20</f>
        <v>0</v>
      </c>
      <c r="H20" s="83"/>
      <c r="I20" s="3"/>
      <c r="J20" s="1"/>
    </row>
    <row r="21" spans="1:10" ht="110.25" x14ac:dyDescent="0.25">
      <c r="A21" s="36">
        <v>5</v>
      </c>
      <c r="B21" s="3" t="s">
        <v>175</v>
      </c>
      <c r="C21" s="4" t="s">
        <v>185</v>
      </c>
      <c r="D21" s="2" t="s">
        <v>130</v>
      </c>
      <c r="E21" s="5">
        <f>SUMIF('ЛСР №1'!$B$17:$B$154,B21,'ЛСР №1'!$F$17:$F$154)</f>
        <v>29.13</v>
      </c>
      <c r="F21" s="39"/>
      <c r="G21" s="5">
        <f t="shared" si="0"/>
        <v>0</v>
      </c>
      <c r="H21" s="83"/>
      <c r="I21" s="3"/>
      <c r="J21" s="1"/>
    </row>
    <row r="22" spans="1:10" ht="110.25" x14ac:dyDescent="0.25">
      <c r="A22" s="2">
        <v>6</v>
      </c>
      <c r="B22" s="3" t="s">
        <v>172</v>
      </c>
      <c r="C22" s="4" t="s">
        <v>186</v>
      </c>
      <c r="D22" s="2" t="s">
        <v>130</v>
      </c>
      <c r="E22" s="5">
        <f>SUMIF('ЛСР №1'!$B$17:$B$154,B22,'ЛСР №1'!$F$17:$F$154)</f>
        <v>481.16</v>
      </c>
      <c r="F22" s="14"/>
      <c r="G22" s="5">
        <f t="shared" si="0"/>
        <v>0</v>
      </c>
      <c r="H22" s="83"/>
      <c r="I22" s="3"/>
      <c r="J22" s="1"/>
    </row>
    <row r="23" spans="1:10" ht="15.75" x14ac:dyDescent="0.25">
      <c r="A23" s="41" t="s">
        <v>10</v>
      </c>
      <c r="B23" s="42"/>
      <c r="C23" s="42"/>
      <c r="D23" s="42"/>
      <c r="E23" s="42"/>
      <c r="F23" s="42"/>
      <c r="G23" s="42"/>
      <c r="H23" s="90"/>
      <c r="I23" s="43"/>
    </row>
    <row r="24" spans="1:10" ht="15.75" x14ac:dyDescent="0.25">
      <c r="A24" s="2">
        <v>1</v>
      </c>
      <c r="B24" s="3" t="s">
        <v>153</v>
      </c>
      <c r="C24" s="4" t="s">
        <v>154</v>
      </c>
      <c r="D24" s="2" t="s">
        <v>130</v>
      </c>
      <c r="E24" s="5">
        <f>SUMIF('ЛСР №1'!$B$17:$B$154,B24,'ЛСР №1'!$F$17:$F$154)</f>
        <v>84.02</v>
      </c>
      <c r="F24" s="14"/>
      <c r="G24" s="5">
        <f>F24*E24</f>
        <v>0</v>
      </c>
      <c r="H24" s="91"/>
      <c r="I24" s="30"/>
      <c r="J24" s="1"/>
    </row>
    <row r="25" spans="1:10" ht="15.75" x14ac:dyDescent="0.25">
      <c r="A25" s="2">
        <v>2</v>
      </c>
      <c r="B25" s="3" t="s">
        <v>173</v>
      </c>
      <c r="C25" s="4" t="s">
        <v>174</v>
      </c>
      <c r="D25" s="2" t="s">
        <v>130</v>
      </c>
      <c r="E25" s="5">
        <f>SUMIF('ЛСР №1'!$B$17:$B$154,B25,'ЛСР №1'!$F$17:$F$154)</f>
        <v>495.6</v>
      </c>
      <c r="F25" s="177" t="s">
        <v>117</v>
      </c>
      <c r="G25" s="178"/>
      <c r="H25" s="91"/>
      <c r="I25" s="30"/>
      <c r="J25" s="1"/>
    </row>
    <row r="26" spans="1:10" ht="15.75" x14ac:dyDescent="0.25">
      <c r="A26" s="2">
        <v>3</v>
      </c>
      <c r="B26" s="3" t="s">
        <v>176</v>
      </c>
      <c r="C26" s="4" t="s">
        <v>177</v>
      </c>
      <c r="D26" s="2" t="s">
        <v>130</v>
      </c>
      <c r="E26" s="5">
        <f>SUMIF('ЛСР №1'!$B$17:$B$154,B26,'ЛСР №1'!$F$17:$F$154)</f>
        <v>30.01</v>
      </c>
      <c r="F26" s="177" t="s">
        <v>117</v>
      </c>
      <c r="G26" s="178"/>
      <c r="H26" s="91"/>
      <c r="I26" s="30"/>
      <c r="J26" s="1"/>
    </row>
    <row r="27" spans="1:10" ht="15.75" x14ac:dyDescent="0.25">
      <c r="A27" s="2">
        <v>4</v>
      </c>
      <c r="B27" s="3" t="s">
        <v>179</v>
      </c>
      <c r="C27" s="4" t="s">
        <v>180</v>
      </c>
      <c r="D27" s="2" t="s">
        <v>130</v>
      </c>
      <c r="E27" s="5">
        <f>SUMIF('ЛСР №1'!$B$17:$B$154,B27,'ЛСР №1'!$F$17:$F$154)</f>
        <v>2806.78</v>
      </c>
      <c r="F27" s="177" t="s">
        <v>117</v>
      </c>
      <c r="G27" s="178"/>
      <c r="H27" s="91"/>
      <c r="I27" s="30"/>
      <c r="J27" s="1"/>
    </row>
    <row r="28" spans="1:10" ht="15.75" x14ac:dyDescent="0.25">
      <c r="A28" s="2">
        <v>5</v>
      </c>
      <c r="B28" s="3" t="s">
        <v>164</v>
      </c>
      <c r="C28" s="4" t="s">
        <v>131</v>
      </c>
      <c r="D28" s="2" t="s">
        <v>132</v>
      </c>
      <c r="E28" s="5">
        <f>SUMIF('ЛСР №1'!$B$17:$B$154,B28,'ЛСР №1'!$F$17:$F$154)</f>
        <v>700.97</v>
      </c>
      <c r="F28" s="14"/>
      <c r="G28" s="5">
        <f>F28*E28</f>
        <v>0</v>
      </c>
      <c r="H28" s="91"/>
      <c r="I28" s="30"/>
      <c r="J28" s="1"/>
    </row>
    <row r="29" spans="1:10" ht="15.75" x14ac:dyDescent="0.25">
      <c r="A29" s="2">
        <v>6</v>
      </c>
      <c r="B29" s="3" t="s">
        <v>170</v>
      </c>
      <c r="C29" s="4" t="s">
        <v>171</v>
      </c>
      <c r="D29" s="2" t="s">
        <v>132</v>
      </c>
      <c r="E29" s="5">
        <f>SUMIF('ЛСР №1'!$B$17:$B$154,B29,'ЛСР №1'!$F$17:$F$154)</f>
        <v>323.08999999999997</v>
      </c>
      <c r="F29" s="177" t="s">
        <v>117</v>
      </c>
      <c r="G29" s="178"/>
      <c r="H29" s="91"/>
      <c r="I29" s="30"/>
      <c r="J29" s="1"/>
    </row>
    <row r="30" spans="1:10" ht="15.75" x14ac:dyDescent="0.25">
      <c r="A30" s="2">
        <v>7</v>
      </c>
      <c r="B30" s="3" t="s">
        <v>160</v>
      </c>
      <c r="C30" s="4" t="s">
        <v>161</v>
      </c>
      <c r="D30" s="2" t="s">
        <v>132</v>
      </c>
      <c r="E30" s="5">
        <f>SUMIF('ЛСР №1'!$B$17:$B$154,B30,'ЛСР №1'!$F$17:$F$154)</f>
        <v>10.199999999999999</v>
      </c>
      <c r="F30" s="177" t="s">
        <v>117</v>
      </c>
      <c r="G30" s="178"/>
      <c r="H30" s="91"/>
      <c r="I30" s="30"/>
      <c r="J30" s="1"/>
    </row>
    <row r="31" spans="1:10" ht="15.75" x14ac:dyDescent="0.25">
      <c r="A31" s="2">
        <v>8</v>
      </c>
      <c r="B31" s="3" t="s">
        <v>168</v>
      </c>
      <c r="C31" s="4" t="s">
        <v>169</v>
      </c>
      <c r="D31" s="2" t="s">
        <v>132</v>
      </c>
      <c r="E31" s="5">
        <f>SUMIF('ЛСР №1'!$B$17:$B$154,B31,'ЛСР №1'!$F$17:$F$154)</f>
        <v>801.61</v>
      </c>
      <c r="F31" s="177" t="s">
        <v>117</v>
      </c>
      <c r="G31" s="178"/>
      <c r="H31" s="91"/>
      <c r="I31" s="30"/>
      <c r="J31" s="1"/>
    </row>
    <row r="32" spans="1:10" ht="15.75" x14ac:dyDescent="0.25">
      <c r="A32" s="2">
        <v>9</v>
      </c>
      <c r="B32" s="3" t="s">
        <v>166</v>
      </c>
      <c r="C32" s="4" t="s">
        <v>167</v>
      </c>
      <c r="D32" s="2" t="s">
        <v>132</v>
      </c>
      <c r="E32" s="5">
        <f>SUMIF('ЛСР №1'!$B$17:$B$154,B32,'ЛСР №1'!$F$17:$F$154)</f>
        <v>23.84</v>
      </c>
      <c r="F32" s="177" t="s">
        <v>117</v>
      </c>
      <c r="G32" s="178"/>
      <c r="H32" s="91"/>
      <c r="I32" s="30"/>
      <c r="J32" s="1"/>
    </row>
    <row r="33" spans="1:10" ht="15.75" x14ac:dyDescent="0.25">
      <c r="A33" s="2">
        <v>10</v>
      </c>
      <c r="B33" s="3" t="s">
        <v>157</v>
      </c>
      <c r="C33" s="4" t="s">
        <v>158</v>
      </c>
      <c r="D33" s="2" t="s">
        <v>6</v>
      </c>
      <c r="E33" s="5">
        <f>SUMIF('ЛСР №1'!$B$17:$B$154,B33,'ЛСР №1'!$F$17:$F$154)</f>
        <v>124.81</v>
      </c>
      <c r="F33" s="14"/>
      <c r="G33" s="5">
        <f>F33*E33</f>
        <v>0</v>
      </c>
      <c r="H33" s="91"/>
      <c r="I33" s="30"/>
      <c r="J33" s="1"/>
    </row>
    <row r="34" spans="1:10" ht="15.75" x14ac:dyDescent="0.25">
      <c r="A34" s="2">
        <v>11</v>
      </c>
      <c r="B34" s="3" t="s">
        <v>155</v>
      </c>
      <c r="C34" s="4" t="s">
        <v>156</v>
      </c>
      <c r="D34" s="2" t="s">
        <v>6</v>
      </c>
      <c r="E34" s="5">
        <f>SUMIF('ЛСР №1'!$B$17:$B$154,B34,'ЛСР №1'!$F$17:$F$154)</f>
        <v>55.47</v>
      </c>
      <c r="F34" s="14"/>
      <c r="G34" s="5">
        <f>F34*E34</f>
        <v>0</v>
      </c>
      <c r="H34" s="91"/>
      <c r="I34" s="30"/>
      <c r="J34" s="1"/>
    </row>
    <row r="35" spans="1:10" ht="15.75" x14ac:dyDescent="0.25">
      <c r="A35" s="2">
        <v>12</v>
      </c>
      <c r="B35" s="3" t="s">
        <v>162</v>
      </c>
      <c r="C35" s="4" t="s">
        <v>163</v>
      </c>
      <c r="D35" s="2" t="s">
        <v>133</v>
      </c>
      <c r="E35" s="5">
        <f>SUMIF('ЛСР №1'!$B$17:$B$154,B35,'ЛСР №1'!$F$17:$F$154)</f>
        <v>97.91</v>
      </c>
      <c r="F35" s="177" t="s">
        <v>117</v>
      </c>
      <c r="G35" s="178"/>
      <c r="H35" s="91"/>
      <c r="I35" s="30"/>
      <c r="J35" s="1"/>
    </row>
    <row r="36" spans="1:10" ht="15.75" x14ac:dyDescent="0.25">
      <c r="A36" s="132" t="s">
        <v>8</v>
      </c>
      <c r="B36" s="132"/>
      <c r="C36" s="132"/>
      <c r="D36" s="132"/>
      <c r="E36" s="132"/>
      <c r="F36" s="132"/>
      <c r="G36" s="5">
        <f>SUM(G17:G22)</f>
        <v>0</v>
      </c>
      <c r="H36" s="91"/>
      <c r="I36" s="30"/>
    </row>
    <row r="37" spans="1:10" ht="15.75" x14ac:dyDescent="0.25">
      <c r="A37" s="132" t="s">
        <v>7</v>
      </c>
      <c r="B37" s="132"/>
      <c r="C37" s="132"/>
      <c r="D37" s="132"/>
      <c r="E37" s="132"/>
      <c r="F37" s="132"/>
      <c r="G37" s="5">
        <f>SUM(G24:G35)</f>
        <v>0</v>
      </c>
      <c r="H37" s="91"/>
      <c r="I37" s="30"/>
    </row>
    <row r="38" spans="1:10" ht="15.75" x14ac:dyDescent="0.25">
      <c r="A38" s="132" t="s">
        <v>37</v>
      </c>
      <c r="B38" s="132"/>
      <c r="C38" s="132"/>
      <c r="D38" s="132"/>
      <c r="E38" s="132"/>
      <c r="F38" s="132"/>
      <c r="G38" s="5">
        <f>IF(E45&lt;20%,SUM(G37)*0.2,0)</f>
        <v>0</v>
      </c>
      <c r="H38" s="91" t="s">
        <v>99</v>
      </c>
      <c r="I38" s="30"/>
    </row>
    <row r="39" spans="1:10" ht="15.75" x14ac:dyDescent="0.25">
      <c r="A39" s="138" t="str">
        <f>IF(E45=0,"Без НДС в связи с применением УСН","НДС " &amp; TEXT(E45,"0%"))</f>
        <v>Без НДС в связи с применением УСН</v>
      </c>
      <c r="B39" s="138"/>
      <c r="C39" s="138"/>
      <c r="D39" s="138"/>
      <c r="E39" s="138"/>
      <c r="F39" s="138"/>
      <c r="G39" s="5">
        <f>SUM(G36:G38)*E45</f>
        <v>0</v>
      </c>
      <c r="H39" s="91" t="s">
        <v>100</v>
      </c>
      <c r="I39" s="30"/>
    </row>
    <row r="40" spans="1:10" ht="18.75" x14ac:dyDescent="0.25">
      <c r="A40" s="133" t="s">
        <v>118</v>
      </c>
      <c r="B40" s="133"/>
      <c r="C40" s="133"/>
      <c r="D40" s="133"/>
      <c r="E40" s="133"/>
      <c r="F40" s="133"/>
      <c r="G40" s="10">
        <f>SUM(G36:G39)</f>
        <v>0</v>
      </c>
      <c r="H40" s="92"/>
      <c r="I40" s="6"/>
    </row>
    <row r="41" spans="1:10" ht="15.75" x14ac:dyDescent="0.25">
      <c r="A41" s="8"/>
      <c r="B41" s="8"/>
      <c r="C41" s="8"/>
      <c r="D41" s="8"/>
      <c r="E41" s="8"/>
      <c r="F41" s="8"/>
      <c r="G41" s="9"/>
      <c r="H41" s="92"/>
      <c r="I41" s="6"/>
    </row>
    <row r="42" spans="1:10" x14ac:dyDescent="0.25">
      <c r="F42" s="82"/>
      <c r="G42" s="82"/>
    </row>
    <row r="43" spans="1:10" x14ac:dyDescent="0.25">
      <c r="F43" s="82"/>
    </row>
    <row r="44" spans="1:10" ht="18.75" x14ac:dyDescent="0.25">
      <c r="A44" s="137" t="s">
        <v>9</v>
      </c>
      <c r="B44" s="137"/>
      <c r="C44" s="137"/>
      <c r="D44" s="137"/>
      <c r="E44" s="137"/>
      <c r="F44" s="137"/>
      <c r="G44" s="137"/>
      <c r="H44" s="84" t="s">
        <v>48</v>
      </c>
      <c r="I44" s="7" t="s">
        <v>5</v>
      </c>
    </row>
    <row r="45" spans="1:10" ht="35.1" customHeight="1" x14ac:dyDescent="0.25">
      <c r="A45" s="16">
        <v>1</v>
      </c>
      <c r="B45" s="129" t="s">
        <v>91</v>
      </c>
      <c r="C45" s="130"/>
      <c r="D45" s="131"/>
      <c r="E45" s="139">
        <v>0</v>
      </c>
      <c r="F45" s="140"/>
      <c r="G45" s="141"/>
      <c r="H45" s="94"/>
      <c r="I45" s="17"/>
    </row>
    <row r="46" spans="1:10" ht="35.25" customHeight="1" x14ac:dyDescent="0.25">
      <c r="A46" s="16">
        <v>2</v>
      </c>
      <c r="B46" s="172" t="s">
        <v>52</v>
      </c>
      <c r="C46" s="173"/>
      <c r="D46" s="174"/>
      <c r="E46" s="134"/>
      <c r="F46" s="135"/>
      <c r="G46" s="136"/>
      <c r="H46" s="95"/>
      <c r="I46" s="18"/>
    </row>
    <row r="47" spans="1:10" ht="35.25" customHeight="1" x14ac:dyDescent="0.25">
      <c r="A47" s="16">
        <v>3</v>
      </c>
      <c r="B47" s="129" t="s">
        <v>53</v>
      </c>
      <c r="C47" s="130"/>
      <c r="D47" s="131"/>
      <c r="E47" s="134"/>
      <c r="F47" s="135"/>
      <c r="G47" s="136"/>
      <c r="H47" s="81"/>
      <c r="I47" s="18"/>
    </row>
    <row r="48" spans="1:10" ht="69.75" customHeight="1" x14ac:dyDescent="0.25">
      <c r="A48" s="16">
        <v>4</v>
      </c>
      <c r="B48" s="152" t="s">
        <v>90</v>
      </c>
      <c r="C48" s="152"/>
      <c r="D48" s="152"/>
      <c r="E48" s="134"/>
      <c r="F48" s="135"/>
      <c r="G48" s="136"/>
      <c r="H48" s="81" t="s">
        <v>58</v>
      </c>
      <c r="I48" s="18"/>
    </row>
    <row r="49" spans="1:9" ht="80.099999999999994" customHeight="1" x14ac:dyDescent="0.25">
      <c r="A49" s="156">
        <v>5</v>
      </c>
      <c r="B49" s="175" t="s">
        <v>101</v>
      </c>
      <c r="C49" s="176"/>
      <c r="D49" s="176"/>
      <c r="E49" s="134"/>
      <c r="F49" s="135"/>
      <c r="G49" s="136"/>
      <c r="H49" s="169" t="s">
        <v>49</v>
      </c>
      <c r="I49" s="18"/>
    </row>
    <row r="50" spans="1:9" ht="80.099999999999994" customHeight="1" x14ac:dyDescent="0.25">
      <c r="A50" s="156"/>
      <c r="B50" s="176"/>
      <c r="C50" s="176"/>
      <c r="D50" s="176"/>
      <c r="E50" s="134"/>
      <c r="F50" s="135"/>
      <c r="G50" s="136"/>
      <c r="H50" s="170"/>
      <c r="I50" s="18"/>
    </row>
    <row r="51" spans="1:9" ht="80.099999999999994" customHeight="1" x14ac:dyDescent="0.25">
      <c r="A51" s="156"/>
      <c r="B51" s="176"/>
      <c r="C51" s="176"/>
      <c r="D51" s="176"/>
      <c r="E51" s="134"/>
      <c r="F51" s="135"/>
      <c r="G51" s="136"/>
      <c r="H51" s="170"/>
      <c r="I51" s="18"/>
    </row>
    <row r="52" spans="1:9" ht="80.099999999999994" customHeight="1" x14ac:dyDescent="0.25">
      <c r="A52" s="156"/>
      <c r="B52" s="176"/>
      <c r="C52" s="176"/>
      <c r="D52" s="176"/>
      <c r="E52" s="134"/>
      <c r="F52" s="135"/>
      <c r="G52" s="136"/>
      <c r="H52" s="170"/>
      <c r="I52" s="18"/>
    </row>
    <row r="53" spans="1:9" ht="80.099999999999994" customHeight="1" x14ac:dyDescent="0.25">
      <c r="A53" s="156"/>
      <c r="B53" s="176"/>
      <c r="C53" s="176"/>
      <c r="D53" s="176"/>
      <c r="E53" s="134"/>
      <c r="F53" s="135"/>
      <c r="G53" s="136"/>
      <c r="H53" s="171"/>
      <c r="I53" s="18"/>
    </row>
    <row r="54" spans="1:9" ht="39" customHeight="1" x14ac:dyDescent="0.25">
      <c r="A54" s="16">
        <v>6</v>
      </c>
      <c r="B54" s="162" t="s">
        <v>89</v>
      </c>
      <c r="C54" s="163"/>
      <c r="D54" s="163"/>
      <c r="E54" s="134"/>
      <c r="F54" s="135"/>
      <c r="G54" s="136"/>
      <c r="H54" s="96" t="s">
        <v>50</v>
      </c>
      <c r="I54" s="18"/>
    </row>
    <row r="55" spans="1:9" ht="79.5" customHeight="1" x14ac:dyDescent="0.25">
      <c r="A55" s="16">
        <v>7</v>
      </c>
      <c r="B55" s="157" t="s">
        <v>54</v>
      </c>
      <c r="C55" s="158"/>
      <c r="D55" s="158"/>
      <c r="E55" s="134"/>
      <c r="F55" s="135"/>
      <c r="G55" s="136"/>
      <c r="H55" s="95"/>
      <c r="I55" s="18"/>
    </row>
    <row r="56" spans="1:9" ht="35.1" customHeight="1" x14ac:dyDescent="0.25">
      <c r="A56" s="19">
        <v>8</v>
      </c>
      <c r="B56" s="159" t="s">
        <v>88</v>
      </c>
      <c r="C56" s="158"/>
      <c r="D56" s="158"/>
      <c r="E56" s="153" t="s">
        <v>87</v>
      </c>
      <c r="F56" s="160"/>
      <c r="G56" s="161"/>
      <c r="H56" s="95"/>
      <c r="I56" s="18"/>
    </row>
    <row r="57" spans="1:9" ht="35.1" customHeight="1" x14ac:dyDescent="0.25">
      <c r="A57" s="19">
        <v>9</v>
      </c>
      <c r="B57" s="152" t="s">
        <v>86</v>
      </c>
      <c r="C57" s="152"/>
      <c r="D57" s="152"/>
      <c r="E57" s="134"/>
      <c r="F57" s="135"/>
      <c r="G57" s="136"/>
      <c r="H57" s="97" t="s">
        <v>55</v>
      </c>
      <c r="I57" s="18"/>
    </row>
    <row r="58" spans="1:9" ht="35.1" customHeight="1" x14ac:dyDescent="0.25">
      <c r="A58" s="19">
        <v>10</v>
      </c>
      <c r="B58" s="151" t="s">
        <v>85</v>
      </c>
      <c r="C58" s="152"/>
      <c r="D58" s="152"/>
      <c r="E58" s="134"/>
      <c r="F58" s="135"/>
      <c r="G58" s="136"/>
      <c r="H58" s="95" t="s">
        <v>57</v>
      </c>
      <c r="I58" s="18"/>
    </row>
    <row r="59" spans="1:9" ht="35.1" customHeight="1" x14ac:dyDescent="0.25">
      <c r="A59" s="19">
        <v>11</v>
      </c>
      <c r="B59" s="151" t="s">
        <v>79</v>
      </c>
      <c r="C59" s="152"/>
      <c r="D59" s="152"/>
      <c r="E59" s="153" t="str">
        <f>C12</f>
        <v>DP-0624-089 - АР(1-7)</v>
      </c>
      <c r="F59" s="154"/>
      <c r="G59" s="155"/>
      <c r="H59" s="95"/>
      <c r="I59" s="18"/>
    </row>
    <row r="60" spans="1:9" ht="35.1" customHeight="1" x14ac:dyDescent="0.25">
      <c r="A60" s="19">
        <v>12</v>
      </c>
      <c r="B60" s="151" t="s">
        <v>64</v>
      </c>
      <c r="C60" s="152"/>
      <c r="D60" s="152"/>
      <c r="E60" s="153" t="s">
        <v>84</v>
      </c>
      <c r="F60" s="154"/>
      <c r="G60" s="155"/>
      <c r="H60" s="95"/>
      <c r="I60" s="18"/>
    </row>
    <row r="61" spans="1:9" ht="35.1" customHeight="1" x14ac:dyDescent="0.25">
      <c r="A61" s="19">
        <v>13</v>
      </c>
      <c r="B61" s="152" t="s">
        <v>80</v>
      </c>
      <c r="C61" s="152"/>
      <c r="D61" s="152"/>
      <c r="E61" s="134"/>
      <c r="F61" s="135"/>
      <c r="G61" s="136"/>
      <c r="H61" s="95" t="s">
        <v>50</v>
      </c>
      <c r="I61" s="18"/>
    </row>
    <row r="62" spans="1:9" ht="35.1" customHeight="1" x14ac:dyDescent="0.25">
      <c r="A62" s="19">
        <v>14</v>
      </c>
      <c r="B62" s="152" t="s">
        <v>81</v>
      </c>
      <c r="C62" s="152"/>
      <c r="D62" s="152"/>
      <c r="E62" s="134"/>
      <c r="F62" s="135"/>
      <c r="G62" s="136"/>
      <c r="H62" s="95" t="s">
        <v>56</v>
      </c>
      <c r="I62" s="18"/>
    </row>
    <row r="63" spans="1:9" ht="35.1" customHeight="1" x14ac:dyDescent="0.25">
      <c r="A63" s="19">
        <v>15</v>
      </c>
      <c r="B63" s="152" t="s">
        <v>82</v>
      </c>
      <c r="C63" s="152"/>
      <c r="D63" s="152"/>
      <c r="E63" s="134"/>
      <c r="F63" s="135"/>
      <c r="G63" s="136"/>
      <c r="H63" s="95"/>
      <c r="I63" s="18"/>
    </row>
    <row r="64" spans="1:9" ht="35.1" customHeight="1" x14ac:dyDescent="0.25">
      <c r="A64" s="19">
        <v>16</v>
      </c>
      <c r="B64" s="152" t="s">
        <v>83</v>
      </c>
      <c r="C64" s="152"/>
      <c r="D64" s="152"/>
      <c r="E64" s="134"/>
      <c r="F64" s="135"/>
      <c r="G64" s="136"/>
      <c r="H64" s="95"/>
      <c r="I64" s="18"/>
    </row>
    <row r="66" spans="1:16" x14ac:dyDescent="0.25">
      <c r="A66" s="20"/>
      <c r="B66" s="20"/>
      <c r="C66" s="20"/>
      <c r="D66" s="20"/>
      <c r="E66" s="20"/>
      <c r="F66" s="20"/>
      <c r="G66" s="20"/>
      <c r="H66" s="98"/>
      <c r="I66" s="20"/>
    </row>
    <row r="67" spans="1:16" x14ac:dyDescent="0.25">
      <c r="A67" s="20"/>
      <c r="B67" s="20"/>
      <c r="C67" s="20"/>
      <c r="D67" s="20"/>
      <c r="E67" s="20"/>
      <c r="F67" s="20"/>
      <c r="G67" s="20"/>
      <c r="H67" s="98"/>
      <c r="I67" s="20"/>
    </row>
    <row r="68" spans="1:16" x14ac:dyDescent="0.25">
      <c r="A68" s="20"/>
      <c r="B68" s="20"/>
      <c r="C68" s="20"/>
      <c r="D68" s="20"/>
      <c r="E68" s="20"/>
      <c r="F68" s="20"/>
      <c r="G68" s="20"/>
      <c r="H68" s="98"/>
      <c r="I68" s="20"/>
    </row>
    <row r="69" spans="1:16" x14ac:dyDescent="0.25">
      <c r="A69" s="20"/>
      <c r="B69" s="20"/>
      <c r="C69" s="20"/>
      <c r="D69" s="20"/>
      <c r="E69" s="20"/>
      <c r="F69" s="20"/>
      <c r="G69" s="20"/>
      <c r="H69" s="98"/>
      <c r="I69" s="20"/>
    </row>
    <row r="70" spans="1:16" x14ac:dyDescent="0.25">
      <c r="A70" s="20"/>
      <c r="B70" s="20"/>
      <c r="C70" s="20"/>
      <c r="D70" s="20"/>
      <c r="E70" s="20"/>
      <c r="F70" s="20"/>
      <c r="G70" s="20"/>
      <c r="H70" s="98"/>
      <c r="I70" s="20"/>
      <c r="J70" s="20"/>
      <c r="K70" s="20"/>
      <c r="L70" s="20"/>
      <c r="M70" s="20"/>
      <c r="N70" s="20"/>
      <c r="O70" s="20"/>
      <c r="P70" s="20"/>
    </row>
    <row r="71" spans="1:16" ht="18.75" customHeight="1" x14ac:dyDescent="0.25">
      <c r="A71" s="166" t="s">
        <v>59</v>
      </c>
      <c r="B71" s="166"/>
      <c r="C71" s="166"/>
      <c r="D71" s="165"/>
      <c r="E71" s="165"/>
      <c r="F71" s="167" t="s">
        <v>60</v>
      </c>
      <c r="G71" s="168"/>
      <c r="H71" s="98"/>
      <c r="I71" s="20"/>
      <c r="J71" s="20"/>
      <c r="K71" s="20"/>
      <c r="L71" s="20"/>
      <c r="M71" s="20"/>
      <c r="N71" s="20"/>
      <c r="O71" s="20"/>
      <c r="P71" s="20"/>
    </row>
    <row r="72" spans="1:16" ht="18.75" x14ac:dyDescent="0.3">
      <c r="A72" s="22"/>
      <c r="B72" s="22"/>
      <c r="C72" s="22"/>
      <c r="D72" s="164" t="s">
        <v>62</v>
      </c>
      <c r="E72" s="164"/>
      <c r="F72" s="164" t="s">
        <v>63</v>
      </c>
      <c r="G72" s="164"/>
      <c r="H72" s="98"/>
      <c r="I72" s="20"/>
      <c r="J72" s="20"/>
      <c r="K72" s="20"/>
      <c r="L72" s="20"/>
      <c r="M72" s="20"/>
      <c r="N72" s="20"/>
      <c r="O72" s="20"/>
      <c r="P72" s="20"/>
    </row>
    <row r="73" spans="1:16" ht="18.75" x14ac:dyDescent="0.3">
      <c r="A73" s="22"/>
      <c r="B73" s="22"/>
      <c r="C73" s="22"/>
      <c r="D73" s="22"/>
      <c r="E73" s="24"/>
      <c r="F73" s="23" t="s">
        <v>61</v>
      </c>
      <c r="G73" s="22"/>
      <c r="H73" s="98"/>
      <c r="I73" s="20"/>
      <c r="J73" s="20"/>
      <c r="K73" s="20"/>
      <c r="L73" s="20"/>
      <c r="M73" s="20"/>
      <c r="N73" s="20"/>
      <c r="O73" s="20"/>
      <c r="P73" s="20"/>
    </row>
    <row r="74" spans="1:16" ht="18.75" x14ac:dyDescent="0.3">
      <c r="A74" s="22"/>
      <c r="B74" s="22"/>
      <c r="C74" s="22"/>
      <c r="D74" s="22"/>
      <c r="E74" s="22"/>
      <c r="F74" s="22"/>
      <c r="G74" s="22"/>
      <c r="H74" s="98"/>
      <c r="I74" s="20"/>
      <c r="J74" s="20"/>
      <c r="K74" s="20"/>
      <c r="L74" s="20"/>
      <c r="M74" s="20"/>
      <c r="N74" s="20"/>
      <c r="O74" s="20"/>
      <c r="P74" s="20"/>
    </row>
    <row r="75" spans="1:16" x14ac:dyDescent="0.25">
      <c r="A75" s="20"/>
      <c r="B75" s="20"/>
      <c r="C75" s="20"/>
      <c r="D75" s="20"/>
      <c r="E75" s="20"/>
      <c r="F75" s="20"/>
      <c r="G75" s="20"/>
      <c r="H75" s="98"/>
      <c r="I75" s="20"/>
      <c r="J75" s="20"/>
      <c r="K75" s="20"/>
      <c r="L75" s="20"/>
      <c r="M75" s="20"/>
      <c r="N75" s="20"/>
      <c r="O75" s="20"/>
      <c r="P75" s="20"/>
    </row>
    <row r="76" spans="1:16" x14ac:dyDescent="0.25">
      <c r="A76" s="20"/>
      <c r="B76" s="20"/>
      <c r="C76" s="20"/>
      <c r="D76" s="20"/>
      <c r="E76" s="20"/>
      <c r="F76" s="21"/>
      <c r="G76" s="21"/>
      <c r="H76" s="99"/>
      <c r="I76" s="21"/>
      <c r="J76" s="21"/>
      <c r="K76" s="21"/>
      <c r="L76" s="21"/>
      <c r="M76" s="21"/>
      <c r="N76" s="20"/>
      <c r="O76" s="20"/>
      <c r="P76" s="20"/>
    </row>
    <row r="77" spans="1:16" x14ac:dyDescent="0.25">
      <c r="C77" s="20"/>
      <c r="D77" s="20"/>
      <c r="E77" s="20"/>
      <c r="F77" s="20"/>
      <c r="G77" s="20"/>
      <c r="H77" s="98"/>
      <c r="I77" s="20"/>
      <c r="J77" s="20"/>
      <c r="K77" s="20"/>
      <c r="L77" s="20"/>
      <c r="M77" s="20"/>
      <c r="N77" s="20"/>
      <c r="O77" s="20"/>
      <c r="P77" s="20"/>
    </row>
    <row r="78" spans="1:16" x14ac:dyDescent="0.25">
      <c r="C78" s="20"/>
      <c r="D78" s="20"/>
      <c r="E78" s="20"/>
      <c r="F78" s="20"/>
      <c r="G78" s="20"/>
      <c r="H78" s="98"/>
      <c r="I78" s="20"/>
      <c r="J78" s="20"/>
      <c r="K78" s="20"/>
      <c r="L78" s="20"/>
      <c r="M78" s="20"/>
      <c r="N78" s="20"/>
      <c r="O78" s="20"/>
      <c r="P78" s="20"/>
    </row>
    <row r="79" spans="1:16" x14ac:dyDescent="0.25">
      <c r="C79" s="20"/>
      <c r="D79" s="20"/>
      <c r="E79" s="20"/>
      <c r="F79" s="20"/>
      <c r="G79" s="20"/>
      <c r="H79" s="98"/>
      <c r="I79" s="20"/>
      <c r="J79" s="20"/>
      <c r="K79" s="20"/>
      <c r="L79" s="20"/>
      <c r="M79" s="20"/>
      <c r="N79" s="20"/>
      <c r="O79" s="20"/>
      <c r="P79" s="20"/>
    </row>
    <row r="80" spans="1:16" x14ac:dyDescent="0.25">
      <c r="C80" s="20"/>
      <c r="D80" s="20"/>
      <c r="E80" s="20"/>
      <c r="F80" s="20"/>
      <c r="G80" s="20"/>
      <c r="H80" s="98"/>
      <c r="I80" s="20"/>
      <c r="J80" s="20"/>
      <c r="K80" s="20"/>
      <c r="L80" s="20"/>
      <c r="M80" s="20"/>
      <c r="N80" s="20"/>
      <c r="O80" s="20"/>
      <c r="P80" s="20"/>
    </row>
    <row r="81" spans="3:16" x14ac:dyDescent="0.25">
      <c r="C81" s="20"/>
      <c r="D81" s="20"/>
      <c r="E81" s="20"/>
      <c r="F81" s="20"/>
      <c r="G81" s="20"/>
      <c r="H81" s="98"/>
      <c r="I81" s="20"/>
      <c r="J81" s="20"/>
      <c r="K81" s="20"/>
      <c r="L81" s="20"/>
      <c r="M81" s="20"/>
      <c r="N81" s="20"/>
      <c r="O81" s="20"/>
      <c r="P81" s="20"/>
    </row>
  </sheetData>
  <sheetProtection algorithmName="SHA-512" hashValue="g9qtC9qkay3oXsw3caMZV7tkP9umqL+NPd/CN2kpLBc56NPIZeKHeSuFrgO0bAjhlf9oC747enH4v9O/iEAh4Q==" saltValue="YqOZN0gacKalttIktXW0bg==" spinCount="100000" sheet="1" objects="1" scenarios="1"/>
  <protectedRanges>
    <protectedRange sqref="D3:G3 C8:G8 A71:G71 E57:G58 E61:G64 I45:I64 F17:F22 I3:I22 I24:I39 F28 F24 F33:F34 E45:G55" name="Диапазон1"/>
  </protectedRanges>
  <sortState ref="A24:I35">
    <sortCondition ref="C24:C35"/>
  </sortState>
  <mergeCells count="80">
    <mergeCell ref="F25:G25"/>
    <mergeCell ref="F29:G29"/>
    <mergeCell ref="F35:G35"/>
    <mergeCell ref="F30:G30"/>
    <mergeCell ref="F31:G31"/>
    <mergeCell ref="F26:G26"/>
    <mergeCell ref="F32:G32"/>
    <mergeCell ref="F27:G27"/>
    <mergeCell ref="E48:G48"/>
    <mergeCell ref="E58:G58"/>
    <mergeCell ref="E59:G59"/>
    <mergeCell ref="H49:H53"/>
    <mergeCell ref="B46:D46"/>
    <mergeCell ref="B49:D53"/>
    <mergeCell ref="E50:G50"/>
    <mergeCell ref="B48:D48"/>
    <mergeCell ref="E49:G49"/>
    <mergeCell ref="E51:G51"/>
    <mergeCell ref="F72:G72"/>
    <mergeCell ref="D71:E71"/>
    <mergeCell ref="D72:E72"/>
    <mergeCell ref="A71:C71"/>
    <mergeCell ref="F71:G71"/>
    <mergeCell ref="A49:A53"/>
    <mergeCell ref="B57:D57"/>
    <mergeCell ref="B55:D55"/>
    <mergeCell ref="E55:G55"/>
    <mergeCell ref="B56:D56"/>
    <mergeCell ref="E56:G56"/>
    <mergeCell ref="E52:G52"/>
    <mergeCell ref="E53:G53"/>
    <mergeCell ref="B54:D54"/>
    <mergeCell ref="E54:G54"/>
    <mergeCell ref="E57:G57"/>
    <mergeCell ref="E64:G64"/>
    <mergeCell ref="B58:D58"/>
    <mergeCell ref="B60:D60"/>
    <mergeCell ref="B61:D61"/>
    <mergeCell ref="B64:D64"/>
    <mergeCell ref="B63:D63"/>
    <mergeCell ref="E60:G60"/>
    <mergeCell ref="E61:G61"/>
    <mergeCell ref="E63:G63"/>
    <mergeCell ref="B62:D62"/>
    <mergeCell ref="E62:G62"/>
    <mergeCell ref="B59:D59"/>
    <mergeCell ref="A11:B11"/>
    <mergeCell ref="C11:G11"/>
    <mergeCell ref="C6:G6"/>
    <mergeCell ref="C8:G8"/>
    <mergeCell ref="A9:B9"/>
    <mergeCell ref="A10:B10"/>
    <mergeCell ref="A7:B7"/>
    <mergeCell ref="C7:G7"/>
    <mergeCell ref="C9:G9"/>
    <mergeCell ref="C10:G10"/>
    <mergeCell ref="A8:B8"/>
    <mergeCell ref="A6:B6"/>
    <mergeCell ref="A1:G1"/>
    <mergeCell ref="A2:G2"/>
    <mergeCell ref="A4:G4"/>
    <mergeCell ref="A5:G5"/>
    <mergeCell ref="A3:C3"/>
    <mergeCell ref="D3:G3"/>
    <mergeCell ref="C13:G13"/>
    <mergeCell ref="A12:B12"/>
    <mergeCell ref="B47:D47"/>
    <mergeCell ref="A37:F37"/>
    <mergeCell ref="A40:F40"/>
    <mergeCell ref="A13:B13"/>
    <mergeCell ref="C12:G12"/>
    <mergeCell ref="E47:G47"/>
    <mergeCell ref="A44:G44"/>
    <mergeCell ref="A39:F39"/>
    <mergeCell ref="B45:D45"/>
    <mergeCell ref="A36:F36"/>
    <mergeCell ref="A38:F38"/>
    <mergeCell ref="E45:G45"/>
    <mergeCell ref="E46:G46"/>
    <mergeCell ref="A14:G14"/>
  </mergeCells>
  <conditionalFormatting sqref="C8">
    <cfRule type="cellIs" dxfId="17" priority="315" operator="greaterThan">
      <formula>0</formula>
    </cfRule>
    <cfRule type="cellIs" dxfId="16" priority="316" operator="greaterThan">
      <formula>0</formula>
    </cfRule>
  </conditionalFormatting>
  <conditionalFormatting sqref="F17 F19 F21">
    <cfRule type="cellIs" dxfId="15" priority="313" operator="greaterThan">
      <formula>0</formula>
    </cfRule>
    <cfRule type="cellIs" priority="314" operator="greaterThan">
      <formula>0</formula>
    </cfRule>
  </conditionalFormatting>
  <conditionalFormatting sqref="F18 F20 F22">
    <cfRule type="cellIs" dxfId="14" priority="301" operator="greaterThan">
      <formula>0</formula>
    </cfRule>
    <cfRule type="cellIs" priority="302" operator="greaterThan">
      <formula>0</formula>
    </cfRule>
  </conditionalFormatting>
  <conditionalFormatting sqref="E63">
    <cfRule type="cellIs" dxfId="13" priority="239" operator="greaterThan">
      <formula>0</formula>
    </cfRule>
    <cfRule type="cellIs" priority="240" operator="greaterThan">
      <formula>0</formula>
    </cfRule>
  </conditionalFormatting>
  <conditionalFormatting sqref="E64">
    <cfRule type="cellIs" dxfId="12" priority="237" operator="greaterThan">
      <formula>0</formula>
    </cfRule>
    <cfRule type="cellIs" priority="238" operator="greaterThan">
      <formula>0</formula>
    </cfRule>
  </conditionalFormatting>
  <conditionalFormatting sqref="E46">
    <cfRule type="cellIs" dxfId="11" priority="231" operator="greaterThan">
      <formula>0</formula>
    </cfRule>
    <cfRule type="cellIs" priority="232" operator="greaterThan">
      <formula>0</formula>
    </cfRule>
  </conditionalFormatting>
  <conditionalFormatting sqref="E48:E55">
    <cfRule type="cellIs" dxfId="10" priority="229" operator="greaterThan">
      <formula>0</formula>
    </cfRule>
    <cfRule type="cellIs" priority="230" operator="greaterThan">
      <formula>0</formula>
    </cfRule>
  </conditionalFormatting>
  <conditionalFormatting sqref="E57:E58">
    <cfRule type="cellIs" dxfId="9" priority="223" operator="greaterThan">
      <formula>0</formula>
    </cfRule>
    <cfRule type="cellIs" priority="224" operator="greaterThan">
      <formula>0</formula>
    </cfRule>
  </conditionalFormatting>
  <conditionalFormatting sqref="E61">
    <cfRule type="cellIs" dxfId="8" priority="221" operator="greaterThan">
      <formula>0</formula>
    </cfRule>
    <cfRule type="cellIs" priority="222" operator="greaterThan">
      <formula>0</formula>
    </cfRule>
  </conditionalFormatting>
  <conditionalFormatting sqref="E62">
    <cfRule type="cellIs" dxfId="7" priority="219" operator="greaterThan">
      <formula>0</formula>
    </cfRule>
    <cfRule type="cellIs" priority="220" operator="greaterThan">
      <formula>0</formula>
    </cfRule>
  </conditionalFormatting>
  <conditionalFormatting sqref="E45:G45">
    <cfRule type="cellIs" dxfId="6" priority="38" operator="greaterThan">
      <formula>0</formula>
    </cfRule>
  </conditionalFormatting>
  <conditionalFormatting sqref="D3:G3">
    <cfRule type="cellIs" dxfId="5" priority="35" operator="greaterThan">
      <formula>0</formula>
    </cfRule>
  </conditionalFormatting>
  <conditionalFormatting sqref="F34">
    <cfRule type="cellIs" dxfId="4" priority="3" operator="greaterThan">
      <formula>0</formula>
    </cfRule>
    <cfRule type="cellIs" priority="4" operator="greaterThan">
      <formula>0</formula>
    </cfRule>
  </conditionalFormatting>
  <conditionalFormatting sqref="F28">
    <cfRule type="cellIs" dxfId="3" priority="9" operator="greaterThan">
      <formula>0</formula>
    </cfRule>
    <cfRule type="cellIs" priority="10" operator="greaterThan">
      <formula>0</formula>
    </cfRule>
  </conditionalFormatting>
  <conditionalFormatting sqref="F24">
    <cfRule type="cellIs" dxfId="2" priority="7" operator="greaterThan">
      <formula>0</formula>
    </cfRule>
    <cfRule type="cellIs" priority="8" operator="greaterThan">
      <formula>0</formula>
    </cfRule>
  </conditionalFormatting>
  <conditionalFormatting sqref="F33">
    <cfRule type="cellIs" dxfId="1" priority="5" operator="greaterThan">
      <formula>0</formula>
    </cfRule>
    <cfRule type="cellIs" priority="6" operator="greaterThan">
      <formula>0</formula>
    </cfRule>
  </conditionalFormatting>
  <conditionalFormatting sqref="E47">
    <cfRule type="cellIs" dxfId="0" priority="1" operator="greaterThan">
      <formula>0</formula>
    </cfRule>
    <cfRule type="cellIs" priority="2" operator="greaterThan">
      <formula>0</formula>
    </cfRule>
  </conditionalFormatting>
  <pageMargins left="0.7" right="0.7" top="0.75" bottom="0.75" header="0.3" footer="0.3"/>
  <pageSetup paperSize="9" scale="49" fitToHeight="0" orientation="landscape" r:id="rId1"/>
  <rowBreaks count="1" manualBreakCount="1">
    <brk id="7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F5809-D0F0-44BE-A3E5-F19B4870493A}">
  <sheetPr>
    <tabColor theme="4" tint="0.79998168889431442"/>
  </sheetPr>
  <dimension ref="A1:S160"/>
  <sheetViews>
    <sheetView workbookViewId="0">
      <selection activeCell="B8" sqref="B8"/>
    </sheetView>
  </sheetViews>
  <sheetFormatPr defaultColWidth="8.85546875" defaultRowHeight="15" x14ac:dyDescent="0.25"/>
  <cols>
    <col min="1" max="1" width="8.85546875" style="11"/>
    <col min="2" max="2" width="19.28515625" style="11" bestFit="1" customWidth="1"/>
    <col min="3" max="3" width="43.5703125" style="126" customWidth="1"/>
    <col min="4" max="4" width="11.140625" style="86" customWidth="1"/>
    <col min="5" max="6" width="11.140625" style="11" customWidth="1"/>
    <col min="7" max="13" width="11.140625" style="11" hidden="1" customWidth="1"/>
    <col min="14" max="15" width="11.85546875" style="11" hidden="1" customWidth="1"/>
    <col min="16" max="17" width="13.85546875" style="11" hidden="1" customWidth="1"/>
    <col min="18" max="19" width="15.7109375" style="11" customWidth="1"/>
    <col min="20" max="20" width="12.42578125" style="11" bestFit="1" customWidth="1"/>
    <col min="21" max="16384" width="8.85546875" style="11"/>
  </cols>
  <sheetData>
    <row r="1" spans="1:19" x14ac:dyDescent="0.25">
      <c r="A1" s="27"/>
      <c r="F1" s="44"/>
      <c r="G1" s="44"/>
      <c r="H1" s="44"/>
      <c r="I1" s="44"/>
      <c r="J1" s="44"/>
      <c r="K1" s="44"/>
      <c r="L1" s="44"/>
      <c r="M1" s="44"/>
    </row>
    <row r="2" spans="1:19" ht="15.75" x14ac:dyDescent="0.25">
      <c r="A2" s="204" t="s">
        <v>35</v>
      </c>
      <c r="B2" s="204"/>
      <c r="F2" s="45" t="s">
        <v>30</v>
      </c>
      <c r="G2" s="45"/>
      <c r="H2" s="45"/>
      <c r="I2" s="45"/>
      <c r="J2" s="45"/>
      <c r="K2" s="45"/>
      <c r="L2" s="45"/>
      <c r="M2" s="45"/>
    </row>
    <row r="3" spans="1:19" ht="15.75" x14ac:dyDescent="0.25">
      <c r="A3" s="205" t="s">
        <v>36</v>
      </c>
      <c r="B3" s="205"/>
      <c r="F3" s="46" t="s">
        <v>31</v>
      </c>
      <c r="G3" s="46"/>
      <c r="H3" s="46"/>
      <c r="I3" s="46"/>
      <c r="J3" s="46"/>
      <c r="K3" s="46"/>
      <c r="L3" s="46"/>
      <c r="M3" s="46"/>
    </row>
    <row r="4" spans="1:19" ht="15.75" x14ac:dyDescent="0.25">
      <c r="A4" s="205" t="s">
        <v>33</v>
      </c>
      <c r="B4" s="205"/>
      <c r="F4" s="46" t="s">
        <v>97</v>
      </c>
      <c r="G4" s="46"/>
      <c r="H4" s="46"/>
      <c r="I4" s="46"/>
      <c r="J4" s="46"/>
      <c r="K4" s="46"/>
      <c r="L4" s="46"/>
      <c r="M4" s="46"/>
    </row>
    <row r="5" spans="1:19" ht="15.75" x14ac:dyDescent="0.25">
      <c r="A5" s="206"/>
      <c r="B5" s="206"/>
      <c r="F5" s="47"/>
      <c r="G5" s="47"/>
      <c r="H5" s="47"/>
      <c r="I5" s="47"/>
      <c r="J5" s="47"/>
      <c r="K5" s="47"/>
      <c r="L5" s="47"/>
      <c r="M5" s="47"/>
    </row>
    <row r="6" spans="1:19" ht="15.75" x14ac:dyDescent="0.25">
      <c r="A6" s="28" t="s">
        <v>34</v>
      </c>
      <c r="B6" s="15"/>
      <c r="F6" s="48" t="s">
        <v>98</v>
      </c>
      <c r="G6" s="48"/>
      <c r="H6" s="48"/>
      <c r="I6" s="48"/>
      <c r="J6" s="48"/>
      <c r="K6" s="48"/>
      <c r="L6" s="48"/>
      <c r="M6" s="48"/>
    </row>
    <row r="7" spans="1:19" ht="15.75" x14ac:dyDescent="0.25">
      <c r="A7" s="28" t="s">
        <v>32</v>
      </c>
      <c r="B7" s="15"/>
      <c r="F7" s="48" t="s">
        <v>32</v>
      </c>
      <c r="G7" s="48"/>
      <c r="H7" s="48"/>
      <c r="I7" s="48"/>
      <c r="J7" s="48"/>
      <c r="K7" s="48"/>
      <c r="L7" s="48"/>
      <c r="M7" s="48"/>
    </row>
    <row r="8" spans="1:19" x14ac:dyDescent="0.25">
      <c r="A8" s="27"/>
      <c r="F8" s="44"/>
      <c r="G8" s="44"/>
      <c r="H8" s="44"/>
      <c r="I8" s="44"/>
      <c r="J8" s="44"/>
      <c r="K8" s="44"/>
      <c r="L8" s="44"/>
      <c r="M8" s="44"/>
    </row>
    <row r="9" spans="1:19" x14ac:dyDescent="0.25">
      <c r="A9" s="27"/>
      <c r="F9" s="44"/>
      <c r="G9" s="44"/>
      <c r="H9" s="44"/>
      <c r="I9" s="44"/>
      <c r="J9" s="44"/>
      <c r="K9" s="44"/>
      <c r="L9" s="44"/>
      <c r="M9" s="44"/>
    </row>
    <row r="10" spans="1:19" ht="15.75" x14ac:dyDescent="0.25">
      <c r="A10" s="207" t="s">
        <v>19</v>
      </c>
      <c r="B10" s="207"/>
      <c r="C10" s="207"/>
      <c r="D10" s="207"/>
      <c r="E10" s="207"/>
      <c r="F10" s="207"/>
      <c r="G10" s="207"/>
      <c r="H10" s="207"/>
      <c r="I10" s="207"/>
      <c r="J10" s="207"/>
      <c r="K10" s="207"/>
      <c r="L10" s="207"/>
      <c r="M10" s="207"/>
      <c r="N10" s="207"/>
      <c r="O10" s="207"/>
      <c r="P10" s="207"/>
      <c r="Q10" s="207"/>
      <c r="R10" s="207"/>
      <c r="S10" s="207"/>
    </row>
    <row r="11" spans="1:19" x14ac:dyDescent="0.25">
      <c r="A11" s="202" t="s">
        <v>148</v>
      </c>
      <c r="B11" s="202"/>
      <c r="C11" s="202"/>
      <c r="D11" s="202"/>
      <c r="E11" s="202"/>
      <c r="F11" s="202"/>
      <c r="G11" s="202"/>
      <c r="H11" s="202"/>
      <c r="I11" s="202"/>
      <c r="J11" s="202"/>
      <c r="K11" s="202"/>
      <c r="L11" s="202"/>
      <c r="M11" s="202"/>
      <c r="N11" s="202"/>
      <c r="O11" s="202"/>
      <c r="P11" s="202"/>
      <c r="Q11" s="202"/>
      <c r="R11" s="202"/>
      <c r="S11" s="202"/>
    </row>
    <row r="12" spans="1:19" x14ac:dyDescent="0.25">
      <c r="A12" s="203" t="s">
        <v>20</v>
      </c>
      <c r="B12" s="203"/>
      <c r="C12" s="203"/>
      <c r="D12" s="203"/>
      <c r="E12" s="203"/>
      <c r="F12" s="203"/>
      <c r="G12" s="203"/>
      <c r="H12" s="203"/>
      <c r="I12" s="203"/>
      <c r="J12" s="203"/>
      <c r="K12" s="203"/>
      <c r="L12" s="203"/>
      <c r="M12" s="203"/>
      <c r="N12" s="203"/>
      <c r="O12" s="203"/>
      <c r="P12" s="203"/>
      <c r="Q12" s="203"/>
      <c r="R12" s="203"/>
      <c r="S12" s="203"/>
    </row>
    <row r="13" spans="1:19" x14ac:dyDescent="0.25">
      <c r="A13" s="27"/>
      <c r="F13" s="44"/>
      <c r="G13" s="44"/>
      <c r="H13" s="44"/>
      <c r="I13" s="44"/>
      <c r="J13" s="44"/>
      <c r="K13" s="44"/>
      <c r="L13" s="44"/>
      <c r="M13" s="44"/>
    </row>
    <row r="14" spans="1:19" ht="27.75" customHeight="1" x14ac:dyDescent="0.25">
      <c r="A14" s="193" t="s">
        <v>11</v>
      </c>
      <c r="B14" s="191" t="s">
        <v>12</v>
      </c>
      <c r="C14" s="195" t="s">
        <v>13</v>
      </c>
      <c r="D14" s="208" t="s">
        <v>146</v>
      </c>
      <c r="E14" s="191" t="s">
        <v>14</v>
      </c>
      <c r="F14" s="197" t="s">
        <v>15</v>
      </c>
      <c r="G14" s="199" t="s">
        <v>122</v>
      </c>
      <c r="H14" s="199" t="s">
        <v>123</v>
      </c>
      <c r="I14" s="199" t="s">
        <v>124</v>
      </c>
      <c r="J14" s="199" t="s">
        <v>125</v>
      </c>
      <c r="K14" s="199" t="s">
        <v>126</v>
      </c>
      <c r="L14" s="199" t="s">
        <v>127</v>
      </c>
      <c r="M14" s="199" t="s">
        <v>128</v>
      </c>
      <c r="N14" s="188" t="s">
        <v>23</v>
      </c>
      <c r="O14" s="189"/>
      <c r="P14" s="189"/>
      <c r="Q14" s="190"/>
      <c r="R14" s="188" t="s">
        <v>16</v>
      </c>
      <c r="S14" s="190"/>
    </row>
    <row r="15" spans="1:19" x14ac:dyDescent="0.25">
      <c r="A15" s="194"/>
      <c r="B15" s="192"/>
      <c r="C15" s="196"/>
      <c r="D15" s="209"/>
      <c r="E15" s="192"/>
      <c r="F15" s="198"/>
      <c r="G15" s="200"/>
      <c r="H15" s="200"/>
      <c r="I15" s="200"/>
      <c r="J15" s="200"/>
      <c r="K15" s="200"/>
      <c r="L15" s="200"/>
      <c r="M15" s="200"/>
      <c r="N15" s="191" t="s">
        <v>26</v>
      </c>
      <c r="O15" s="191" t="s">
        <v>27</v>
      </c>
      <c r="P15" s="191" t="s">
        <v>28</v>
      </c>
      <c r="Q15" s="191" t="s">
        <v>29</v>
      </c>
      <c r="R15" s="191" t="s">
        <v>17</v>
      </c>
      <c r="S15" s="191" t="s">
        <v>18</v>
      </c>
    </row>
    <row r="16" spans="1:19" x14ac:dyDescent="0.25">
      <c r="A16" s="194"/>
      <c r="B16" s="192"/>
      <c r="C16" s="196"/>
      <c r="D16" s="210"/>
      <c r="E16" s="192"/>
      <c r="F16" s="198"/>
      <c r="G16" s="201"/>
      <c r="H16" s="201"/>
      <c r="I16" s="201"/>
      <c r="J16" s="201"/>
      <c r="K16" s="201"/>
      <c r="L16" s="201"/>
      <c r="M16" s="201"/>
      <c r="N16" s="192"/>
      <c r="O16" s="192"/>
      <c r="P16" s="192"/>
      <c r="Q16" s="192"/>
      <c r="R16" s="192"/>
      <c r="S16" s="192"/>
    </row>
    <row r="17" spans="1:19" x14ac:dyDescent="0.25">
      <c r="A17" s="108" t="s">
        <v>129</v>
      </c>
      <c r="B17" s="109"/>
      <c r="C17" s="110"/>
      <c r="D17" s="111"/>
      <c r="E17" s="112"/>
      <c r="F17" s="113"/>
      <c r="G17" s="114"/>
      <c r="H17" s="114"/>
      <c r="I17" s="114"/>
      <c r="J17" s="114"/>
      <c r="K17" s="114"/>
      <c r="L17" s="114"/>
      <c r="M17" s="114"/>
      <c r="N17" s="33"/>
      <c r="O17" s="33"/>
      <c r="P17" s="33"/>
      <c r="Q17" s="33"/>
      <c r="R17" s="33"/>
      <c r="S17" s="31"/>
    </row>
    <row r="18" spans="1:19" ht="276" x14ac:dyDescent="0.25">
      <c r="A18" s="115">
        <v>1</v>
      </c>
      <c r="B18" s="116" t="s">
        <v>152</v>
      </c>
      <c r="C18" s="117" t="s">
        <v>182</v>
      </c>
      <c r="D18" s="118"/>
      <c r="E18" s="119" t="s">
        <v>130</v>
      </c>
      <c r="F18" s="120">
        <f t="shared" ref="F18:F36" si="0">SUM(G18:M18)</f>
        <v>14.73</v>
      </c>
      <c r="G18" s="101">
        <v>0</v>
      </c>
      <c r="H18" s="101">
        <v>0</v>
      </c>
      <c r="I18" s="101">
        <v>0</v>
      </c>
      <c r="J18" s="101">
        <f>14.73</f>
        <v>14.73</v>
      </c>
      <c r="K18" s="101">
        <v>0</v>
      </c>
      <c r="L18" s="101">
        <v>0</v>
      </c>
      <c r="M18" s="101">
        <v>0</v>
      </c>
      <c r="N18" s="100">
        <f>VLOOKUP(B18,'Форма КП'!$B$17:$G$22,5,FALSE)</f>
        <v>0</v>
      </c>
      <c r="O18" s="100">
        <f>N18*F18</f>
        <v>0</v>
      </c>
      <c r="P18" s="100"/>
      <c r="Q18" s="100"/>
      <c r="R18" s="100">
        <f>N18</f>
        <v>0</v>
      </c>
      <c r="S18" s="100">
        <f>N18*F18</f>
        <v>0</v>
      </c>
    </row>
    <row r="19" spans="1:19" x14ac:dyDescent="0.25">
      <c r="A19" s="121">
        <v>2</v>
      </c>
      <c r="B19" s="116" t="s">
        <v>153</v>
      </c>
      <c r="C19" s="122" t="s">
        <v>154</v>
      </c>
      <c r="D19" s="88">
        <v>2.06</v>
      </c>
      <c r="E19" s="123" t="s">
        <v>130</v>
      </c>
      <c r="F19" s="124">
        <f t="shared" si="0"/>
        <v>30.34</v>
      </c>
      <c r="G19" s="87">
        <f>G18*D19</f>
        <v>0</v>
      </c>
      <c r="H19" s="87">
        <f>H18*D19</f>
        <v>0</v>
      </c>
      <c r="I19" s="87">
        <f>I18*D19</f>
        <v>0</v>
      </c>
      <c r="J19" s="87">
        <f>J18*D19</f>
        <v>30.34</v>
      </c>
      <c r="K19" s="87">
        <f>K18*D19</f>
        <v>0</v>
      </c>
      <c r="L19" s="87">
        <f>L18*D19</f>
        <v>0</v>
      </c>
      <c r="M19" s="87">
        <f>M18*D19</f>
        <v>0</v>
      </c>
      <c r="N19" s="29"/>
      <c r="O19" s="29"/>
      <c r="P19" s="85">
        <f>VLOOKUP(B19,'Форма КП'!$B$24:$G$35,5,FALSE)</f>
        <v>0</v>
      </c>
      <c r="Q19" s="85">
        <f t="shared" ref="Q19" si="1">P19*F19</f>
        <v>0</v>
      </c>
      <c r="R19" s="32">
        <f t="shared" ref="R19" si="2">P19</f>
        <v>0</v>
      </c>
      <c r="S19" s="32">
        <f t="shared" ref="S19" si="3">P19*F19</f>
        <v>0</v>
      </c>
    </row>
    <row r="20" spans="1:19" ht="24" x14ac:dyDescent="0.25">
      <c r="A20" s="121">
        <v>3</v>
      </c>
      <c r="B20" s="116" t="s">
        <v>155</v>
      </c>
      <c r="C20" s="122" t="s">
        <v>156</v>
      </c>
      <c r="D20" s="88">
        <v>1.36</v>
      </c>
      <c r="E20" s="123" t="s">
        <v>6</v>
      </c>
      <c r="F20" s="124">
        <f t="shared" si="0"/>
        <v>20.03</v>
      </c>
      <c r="G20" s="87">
        <f>G18*D20</f>
        <v>0</v>
      </c>
      <c r="H20" s="87">
        <f>H18*D20</f>
        <v>0</v>
      </c>
      <c r="I20" s="87">
        <f>I18*D20</f>
        <v>0</v>
      </c>
      <c r="J20" s="87">
        <f>J18*D20</f>
        <v>20.03</v>
      </c>
      <c r="K20" s="87">
        <f>K18*D20</f>
        <v>0</v>
      </c>
      <c r="L20" s="87">
        <f>L18*D20</f>
        <v>0</v>
      </c>
      <c r="M20" s="87">
        <f>M18*D20</f>
        <v>0</v>
      </c>
      <c r="N20" s="29"/>
      <c r="O20" s="29"/>
      <c r="P20" s="85">
        <f>VLOOKUP(B20,'Форма КП'!$B$24:$G$35,5,FALSE)</f>
        <v>0</v>
      </c>
      <c r="Q20" s="85">
        <f t="shared" ref="Q20:Q21" si="4">P20*F20</f>
        <v>0</v>
      </c>
      <c r="R20" s="32">
        <f t="shared" ref="R20:R21" si="5">P20</f>
        <v>0</v>
      </c>
      <c r="S20" s="32">
        <f t="shared" ref="S20:S21" si="6">P20*F20</f>
        <v>0</v>
      </c>
    </row>
    <row r="21" spans="1:19" x14ac:dyDescent="0.25">
      <c r="A21" s="121">
        <v>4</v>
      </c>
      <c r="B21" s="116" t="s">
        <v>157</v>
      </c>
      <c r="C21" s="122" t="s">
        <v>158</v>
      </c>
      <c r="D21" s="88">
        <v>3.06</v>
      </c>
      <c r="E21" s="123" t="s">
        <v>6</v>
      </c>
      <c r="F21" s="124">
        <f t="shared" si="0"/>
        <v>45.07</v>
      </c>
      <c r="G21" s="87">
        <f>G18*D21</f>
        <v>0</v>
      </c>
      <c r="H21" s="87">
        <f>H18*D21</f>
        <v>0</v>
      </c>
      <c r="I21" s="87">
        <f>I18*D21</f>
        <v>0</v>
      </c>
      <c r="J21" s="87">
        <f>J18*D21</f>
        <v>45.07</v>
      </c>
      <c r="K21" s="87">
        <f>K18*D21</f>
        <v>0</v>
      </c>
      <c r="L21" s="87">
        <f>L18*D21</f>
        <v>0</v>
      </c>
      <c r="M21" s="87">
        <f>M18*D21</f>
        <v>0</v>
      </c>
      <c r="N21" s="29"/>
      <c r="O21" s="29"/>
      <c r="P21" s="85">
        <f>VLOOKUP(B21,'Форма КП'!$B$24:$G$35,5,FALSE)</f>
        <v>0</v>
      </c>
      <c r="Q21" s="85">
        <f t="shared" si="4"/>
        <v>0</v>
      </c>
      <c r="R21" s="32">
        <f t="shared" si="5"/>
        <v>0</v>
      </c>
      <c r="S21" s="32">
        <f t="shared" si="6"/>
        <v>0</v>
      </c>
    </row>
    <row r="22" spans="1:19" ht="156" x14ac:dyDescent="0.25">
      <c r="A22" s="115">
        <v>5</v>
      </c>
      <c r="B22" s="116" t="s">
        <v>159</v>
      </c>
      <c r="C22" s="117" t="s">
        <v>183</v>
      </c>
      <c r="D22" s="118"/>
      <c r="E22" s="119" t="s">
        <v>130</v>
      </c>
      <c r="F22" s="120">
        <f t="shared" si="0"/>
        <v>14.73</v>
      </c>
      <c r="G22" s="87">
        <f>G18</f>
        <v>0</v>
      </c>
      <c r="H22" s="87">
        <f t="shared" ref="H22:M22" si="7">H18</f>
        <v>0</v>
      </c>
      <c r="I22" s="87">
        <f t="shared" si="7"/>
        <v>0</v>
      </c>
      <c r="J22" s="87">
        <v>14.73</v>
      </c>
      <c r="K22" s="87">
        <f t="shared" si="7"/>
        <v>0</v>
      </c>
      <c r="L22" s="87">
        <f t="shared" si="7"/>
        <v>0</v>
      </c>
      <c r="M22" s="87">
        <f t="shared" si="7"/>
        <v>0</v>
      </c>
      <c r="N22" s="100">
        <f>VLOOKUP(B22,'Форма КП'!$B$17:$G$22,5,FALSE)</f>
        <v>0</v>
      </c>
      <c r="O22" s="100">
        <f>N22*F22</f>
        <v>0</v>
      </c>
      <c r="P22" s="100"/>
      <c r="Q22" s="100"/>
      <c r="R22" s="100">
        <f>N22</f>
        <v>0</v>
      </c>
      <c r="S22" s="100">
        <f>N22*F22</f>
        <v>0</v>
      </c>
    </row>
    <row r="23" spans="1:19" ht="24" x14ac:dyDescent="0.25">
      <c r="A23" s="121">
        <v>6</v>
      </c>
      <c r="B23" s="116" t="s">
        <v>160</v>
      </c>
      <c r="C23" s="122" t="s">
        <v>161</v>
      </c>
      <c r="D23" s="88">
        <v>0.25</v>
      </c>
      <c r="E23" s="123" t="s">
        <v>132</v>
      </c>
      <c r="F23" s="124">
        <f t="shared" si="0"/>
        <v>3.68</v>
      </c>
      <c r="G23" s="87">
        <f>G22*D23</f>
        <v>0</v>
      </c>
      <c r="H23" s="87">
        <f>H22*D23</f>
        <v>0</v>
      </c>
      <c r="I23" s="87">
        <f>I22*D23</f>
        <v>0</v>
      </c>
      <c r="J23" s="87">
        <f>J22*D23</f>
        <v>3.68</v>
      </c>
      <c r="K23" s="87">
        <f>K22*D23</f>
        <v>0</v>
      </c>
      <c r="L23" s="87">
        <f>L22*D23</f>
        <v>0</v>
      </c>
      <c r="M23" s="87">
        <f>M22*D23</f>
        <v>0</v>
      </c>
      <c r="N23" s="29"/>
      <c r="O23" s="29"/>
      <c r="P23" s="49" t="str">
        <f>VLOOKUP(B23,'Форма КП'!$B$24:$G$35,5,FALSE)</f>
        <v>Материал заказчика</v>
      </c>
      <c r="Q23" s="50"/>
      <c r="R23" s="49" t="str">
        <f t="shared" ref="R23" si="8">P23</f>
        <v>Материал заказчика</v>
      </c>
      <c r="S23" s="50"/>
    </row>
    <row r="24" spans="1:19" x14ac:dyDescent="0.25">
      <c r="A24" s="121">
        <v>7</v>
      </c>
      <c r="B24" s="116" t="s">
        <v>162</v>
      </c>
      <c r="C24" s="122" t="s">
        <v>163</v>
      </c>
      <c r="D24" s="102">
        <v>2.4</v>
      </c>
      <c r="E24" s="123" t="s">
        <v>133</v>
      </c>
      <c r="F24" s="124">
        <f t="shared" si="0"/>
        <v>35.35</v>
      </c>
      <c r="G24" s="87">
        <f>G22*D24</f>
        <v>0</v>
      </c>
      <c r="H24" s="87">
        <f>H22*D24</f>
        <v>0</v>
      </c>
      <c r="I24" s="87">
        <f>I22*D24</f>
        <v>0</v>
      </c>
      <c r="J24" s="87">
        <f>J22*D24</f>
        <v>35.35</v>
      </c>
      <c r="K24" s="87">
        <f>K22*D24</f>
        <v>0</v>
      </c>
      <c r="L24" s="87">
        <f>L22*D24</f>
        <v>0</v>
      </c>
      <c r="M24" s="87">
        <f>M22*D24</f>
        <v>0</v>
      </c>
      <c r="N24" s="29"/>
      <c r="O24" s="29"/>
      <c r="P24" s="49" t="str">
        <f>VLOOKUP(B24,'Форма КП'!$B$24:$G$35,5,FALSE)</f>
        <v>Материал заказчика</v>
      </c>
      <c r="Q24" s="50"/>
      <c r="R24" s="49" t="str">
        <f t="shared" ref="R24:R25" si="9">P24</f>
        <v>Материал заказчика</v>
      </c>
      <c r="S24" s="50"/>
    </row>
    <row r="25" spans="1:19" x14ac:dyDescent="0.25">
      <c r="A25" s="121">
        <v>8</v>
      </c>
      <c r="B25" s="116" t="s">
        <v>164</v>
      </c>
      <c r="C25" s="122" t="s">
        <v>131</v>
      </c>
      <c r="D25" s="88">
        <v>0.3</v>
      </c>
      <c r="E25" s="123" t="s">
        <v>132</v>
      </c>
      <c r="F25" s="124">
        <f t="shared" si="0"/>
        <v>4.42</v>
      </c>
      <c r="G25" s="87">
        <f>G22*D25</f>
        <v>0</v>
      </c>
      <c r="H25" s="87">
        <f>H22*D25</f>
        <v>0</v>
      </c>
      <c r="I25" s="87">
        <f>I22*D25</f>
        <v>0</v>
      </c>
      <c r="J25" s="87">
        <f>J22*D25</f>
        <v>4.42</v>
      </c>
      <c r="K25" s="87">
        <f>K22*D25</f>
        <v>0</v>
      </c>
      <c r="L25" s="87">
        <f>L22*D25</f>
        <v>0</v>
      </c>
      <c r="M25" s="87">
        <f>M22*D25</f>
        <v>0</v>
      </c>
      <c r="N25" s="29"/>
      <c r="O25" s="29"/>
      <c r="P25" s="85">
        <f>VLOOKUP(B25,'Форма КП'!$B$24:$G$35,5,FALSE)</f>
        <v>0</v>
      </c>
      <c r="Q25" s="85">
        <f t="shared" ref="Q25" si="10">P25*F25</f>
        <v>0</v>
      </c>
      <c r="R25" s="32">
        <f t="shared" si="9"/>
        <v>0</v>
      </c>
      <c r="S25" s="32">
        <f t="shared" ref="S25" si="11">P25*F25</f>
        <v>0</v>
      </c>
    </row>
    <row r="26" spans="1:19" ht="108" x14ac:dyDescent="0.25">
      <c r="A26" s="115">
        <v>9</v>
      </c>
      <c r="B26" s="116" t="s">
        <v>165</v>
      </c>
      <c r="C26" s="117" t="s">
        <v>187</v>
      </c>
      <c r="D26" s="118"/>
      <c r="E26" s="119" t="s">
        <v>130</v>
      </c>
      <c r="F26" s="120">
        <f t="shared" si="0"/>
        <v>95.31</v>
      </c>
      <c r="G26" s="103">
        <f>14.22</f>
        <v>14.22</v>
      </c>
      <c r="H26" s="103">
        <f>14.2</f>
        <v>14.2</v>
      </c>
      <c r="I26" s="103">
        <f>14.15</f>
        <v>14.15</v>
      </c>
      <c r="J26" s="103">
        <f>10.25</f>
        <v>10.25</v>
      </c>
      <c r="K26" s="103">
        <f>14.15</f>
        <v>14.15</v>
      </c>
      <c r="L26" s="103">
        <f>14.19</f>
        <v>14.19</v>
      </c>
      <c r="M26" s="103">
        <f>14.15</f>
        <v>14.15</v>
      </c>
      <c r="N26" s="100">
        <f>VLOOKUP(B26,'Форма КП'!$B$17:$G$22,5,FALSE)</f>
        <v>0</v>
      </c>
      <c r="O26" s="100">
        <f>N26*F26</f>
        <v>0</v>
      </c>
      <c r="P26" s="100"/>
      <c r="Q26" s="100"/>
      <c r="R26" s="100">
        <f>N26</f>
        <v>0</v>
      </c>
      <c r="S26" s="100">
        <f>N26*F26</f>
        <v>0</v>
      </c>
    </row>
    <row r="27" spans="1:19" ht="24" x14ac:dyDescent="0.25">
      <c r="A27" s="121">
        <v>10</v>
      </c>
      <c r="B27" s="116" t="s">
        <v>166</v>
      </c>
      <c r="C27" s="122" t="s">
        <v>167</v>
      </c>
      <c r="D27" s="88">
        <v>0.25</v>
      </c>
      <c r="E27" s="123" t="s">
        <v>132</v>
      </c>
      <c r="F27" s="124">
        <f t="shared" si="0"/>
        <v>23.84</v>
      </c>
      <c r="G27" s="87">
        <f>G26*D27</f>
        <v>3.56</v>
      </c>
      <c r="H27" s="87">
        <f>H26*D27</f>
        <v>3.55</v>
      </c>
      <c r="I27" s="87">
        <f>I26*D27</f>
        <v>3.54</v>
      </c>
      <c r="J27" s="87">
        <f>J26*D27</f>
        <v>2.56</v>
      </c>
      <c r="K27" s="87">
        <f>K26*D27</f>
        <v>3.54</v>
      </c>
      <c r="L27" s="87">
        <f>L26*D27</f>
        <v>3.55</v>
      </c>
      <c r="M27" s="87">
        <f>M26*D27</f>
        <v>3.54</v>
      </c>
      <c r="N27" s="29"/>
      <c r="O27" s="29"/>
      <c r="P27" s="49" t="str">
        <f>VLOOKUP(B27,'Форма КП'!$B$24:$G$35,5,FALSE)</f>
        <v>Материал заказчика</v>
      </c>
      <c r="Q27" s="50"/>
      <c r="R27" s="49" t="str">
        <f t="shared" ref="R27:R28" si="12">P27</f>
        <v>Материал заказчика</v>
      </c>
      <c r="S27" s="50"/>
    </row>
    <row r="28" spans="1:19" x14ac:dyDescent="0.25">
      <c r="A28" s="121">
        <v>11</v>
      </c>
      <c r="B28" s="116" t="s">
        <v>164</v>
      </c>
      <c r="C28" s="122" t="s">
        <v>131</v>
      </c>
      <c r="D28" s="88">
        <v>0.15</v>
      </c>
      <c r="E28" s="123" t="s">
        <v>132</v>
      </c>
      <c r="F28" s="124">
        <f t="shared" si="0"/>
        <v>14.29</v>
      </c>
      <c r="G28" s="87">
        <f>G26*D28</f>
        <v>2.13</v>
      </c>
      <c r="H28" s="87">
        <f>H26*D28</f>
        <v>2.13</v>
      </c>
      <c r="I28" s="87">
        <f>I26*D28</f>
        <v>2.12</v>
      </c>
      <c r="J28" s="87">
        <f>J26*D28</f>
        <v>1.54</v>
      </c>
      <c r="K28" s="87">
        <f>K26*D28</f>
        <v>2.12</v>
      </c>
      <c r="L28" s="87">
        <f>L26*D28</f>
        <v>2.13</v>
      </c>
      <c r="M28" s="87">
        <f>M26*D28</f>
        <v>2.12</v>
      </c>
      <c r="N28" s="29"/>
      <c r="O28" s="29"/>
      <c r="P28" s="85">
        <f>VLOOKUP(B28,'Форма КП'!$B$24:$G$35,5,FALSE)</f>
        <v>0</v>
      </c>
      <c r="Q28" s="85">
        <f t="shared" ref="Q28" si="13">P28*F28</f>
        <v>0</v>
      </c>
      <c r="R28" s="32">
        <f t="shared" si="12"/>
        <v>0</v>
      </c>
      <c r="S28" s="32">
        <f t="shared" ref="S28" si="14">P28*F28</f>
        <v>0</v>
      </c>
    </row>
    <row r="29" spans="1:19" ht="108" x14ac:dyDescent="0.25">
      <c r="A29" s="115">
        <v>12</v>
      </c>
      <c r="B29" s="116" t="s">
        <v>165</v>
      </c>
      <c r="C29" s="117" t="s">
        <v>187</v>
      </c>
      <c r="D29" s="118"/>
      <c r="E29" s="119" t="s">
        <v>130</v>
      </c>
      <c r="F29" s="120">
        <f t="shared" si="0"/>
        <v>49.47</v>
      </c>
      <c r="G29" s="101">
        <f t="shared" ref="G29:I29" si="15">G35</f>
        <v>0</v>
      </c>
      <c r="H29" s="101">
        <f t="shared" si="15"/>
        <v>0</v>
      </c>
      <c r="I29" s="101">
        <f t="shared" si="15"/>
        <v>0</v>
      </c>
      <c r="J29" s="101">
        <v>49.47</v>
      </c>
      <c r="K29" s="101">
        <f t="shared" ref="K29:M29" si="16">K35</f>
        <v>0</v>
      </c>
      <c r="L29" s="101">
        <f t="shared" si="16"/>
        <v>0</v>
      </c>
      <c r="M29" s="101">
        <f t="shared" si="16"/>
        <v>0</v>
      </c>
      <c r="N29" s="100">
        <f>VLOOKUP(B29,'Форма КП'!$B$17:$G$22,5,FALSE)</f>
        <v>0</v>
      </c>
      <c r="O29" s="100">
        <f>N29*F29</f>
        <v>0</v>
      </c>
      <c r="P29" s="100"/>
      <c r="Q29" s="100"/>
      <c r="R29" s="100">
        <f>N29</f>
        <v>0</v>
      </c>
      <c r="S29" s="100">
        <f>N29*F29</f>
        <v>0</v>
      </c>
    </row>
    <row r="30" spans="1:19" ht="24" x14ac:dyDescent="0.25">
      <c r="A30" s="121">
        <v>13</v>
      </c>
      <c r="B30" s="116" t="s">
        <v>168</v>
      </c>
      <c r="C30" s="122" t="s">
        <v>169</v>
      </c>
      <c r="D30" s="88">
        <v>0.25</v>
      </c>
      <c r="E30" s="123" t="s">
        <v>132</v>
      </c>
      <c r="F30" s="124">
        <f t="shared" si="0"/>
        <v>12.37</v>
      </c>
      <c r="G30" s="87">
        <f>G29*D30</f>
        <v>0</v>
      </c>
      <c r="H30" s="87">
        <f>H29*D30</f>
        <v>0</v>
      </c>
      <c r="I30" s="87">
        <f>I29*D30</f>
        <v>0</v>
      </c>
      <c r="J30" s="87">
        <f>J29*D30</f>
        <v>12.37</v>
      </c>
      <c r="K30" s="87">
        <f>K29*D30</f>
        <v>0</v>
      </c>
      <c r="L30" s="87">
        <f>L29*D30</f>
        <v>0</v>
      </c>
      <c r="M30" s="87">
        <f>M29*D30</f>
        <v>0</v>
      </c>
      <c r="N30" s="29"/>
      <c r="O30" s="29"/>
      <c r="P30" s="49" t="str">
        <f>VLOOKUP(B30,'Форма КП'!$B$24:$G$35,5,FALSE)</f>
        <v>Материал заказчика</v>
      </c>
      <c r="Q30" s="50"/>
      <c r="R30" s="49" t="str">
        <f t="shared" ref="R30:R31" si="17">P30</f>
        <v>Материал заказчика</v>
      </c>
      <c r="S30" s="50"/>
    </row>
    <row r="31" spans="1:19" x14ac:dyDescent="0.25">
      <c r="A31" s="121">
        <v>14</v>
      </c>
      <c r="B31" s="116" t="s">
        <v>164</v>
      </c>
      <c r="C31" s="122" t="s">
        <v>131</v>
      </c>
      <c r="D31" s="88">
        <v>0.15</v>
      </c>
      <c r="E31" s="123" t="s">
        <v>132</v>
      </c>
      <c r="F31" s="124">
        <f t="shared" si="0"/>
        <v>7.42</v>
      </c>
      <c r="G31" s="87">
        <f>G29*D31</f>
        <v>0</v>
      </c>
      <c r="H31" s="87">
        <f>H29*D31</f>
        <v>0</v>
      </c>
      <c r="I31" s="87">
        <f>I29*D31</f>
        <v>0</v>
      </c>
      <c r="J31" s="87">
        <f>J29*D31</f>
        <v>7.42</v>
      </c>
      <c r="K31" s="87">
        <f>K29*D31</f>
        <v>0</v>
      </c>
      <c r="L31" s="87">
        <f>L29*D31</f>
        <v>0</v>
      </c>
      <c r="M31" s="87">
        <f>M29*D31</f>
        <v>0</v>
      </c>
      <c r="N31" s="29"/>
      <c r="O31" s="29"/>
      <c r="P31" s="85">
        <f>VLOOKUP(B31,'Форма КП'!$B$24:$G$35,5,FALSE)</f>
        <v>0</v>
      </c>
      <c r="Q31" s="85">
        <f t="shared" ref="Q31" si="18">P31*F31</f>
        <v>0</v>
      </c>
      <c r="R31" s="32">
        <f t="shared" si="17"/>
        <v>0</v>
      </c>
      <c r="S31" s="32">
        <f t="shared" ref="S31" si="19">P31*F31</f>
        <v>0</v>
      </c>
    </row>
    <row r="32" spans="1:19" ht="108" x14ac:dyDescent="0.25">
      <c r="A32" s="115">
        <v>15</v>
      </c>
      <c r="B32" s="116" t="s">
        <v>165</v>
      </c>
      <c r="C32" s="117" t="s">
        <v>187</v>
      </c>
      <c r="D32" s="118"/>
      <c r="E32" s="119" t="s">
        <v>130</v>
      </c>
      <c r="F32" s="120">
        <f t="shared" si="0"/>
        <v>108.18</v>
      </c>
      <c r="G32" s="103">
        <f>15.51</f>
        <v>15.51</v>
      </c>
      <c r="H32" s="103">
        <f>15.55</f>
        <v>15.55</v>
      </c>
      <c r="I32" s="103">
        <f>15.26</f>
        <v>15.26</v>
      </c>
      <c r="J32" s="103">
        <f>15.54</f>
        <v>15.54</v>
      </c>
      <c r="K32" s="103">
        <f>15.48</f>
        <v>15.48</v>
      </c>
      <c r="L32" s="103">
        <f>15.42</f>
        <v>15.42</v>
      </c>
      <c r="M32" s="103">
        <f>15.42</f>
        <v>15.42</v>
      </c>
      <c r="N32" s="100">
        <f>VLOOKUP(B32,'Форма КП'!$B$17:$G$22,5,FALSE)</f>
        <v>0</v>
      </c>
      <c r="O32" s="100">
        <f>N32*F32</f>
        <v>0</v>
      </c>
      <c r="P32" s="100"/>
      <c r="Q32" s="100"/>
      <c r="R32" s="100">
        <f>N32</f>
        <v>0</v>
      </c>
      <c r="S32" s="100">
        <f>N32*F32</f>
        <v>0</v>
      </c>
    </row>
    <row r="33" spans="1:19" ht="24" x14ac:dyDescent="0.25">
      <c r="A33" s="121">
        <v>16</v>
      </c>
      <c r="B33" s="116" t="s">
        <v>170</v>
      </c>
      <c r="C33" s="122" t="s">
        <v>171</v>
      </c>
      <c r="D33" s="88">
        <v>0.25</v>
      </c>
      <c r="E33" s="123" t="s">
        <v>132</v>
      </c>
      <c r="F33" s="124">
        <f t="shared" si="0"/>
        <v>27.07</v>
      </c>
      <c r="G33" s="87">
        <f>G32*D33</f>
        <v>3.88</v>
      </c>
      <c r="H33" s="87">
        <f>H32*D33</f>
        <v>3.89</v>
      </c>
      <c r="I33" s="87">
        <f>I32*D33</f>
        <v>3.82</v>
      </c>
      <c r="J33" s="87">
        <f>J32*D33</f>
        <v>3.89</v>
      </c>
      <c r="K33" s="87">
        <f>K32*D33</f>
        <v>3.87</v>
      </c>
      <c r="L33" s="87">
        <f>L32*D33</f>
        <v>3.86</v>
      </c>
      <c r="M33" s="87">
        <f>M32*D33</f>
        <v>3.86</v>
      </c>
      <c r="N33" s="29"/>
      <c r="O33" s="29"/>
      <c r="P33" s="49" t="str">
        <f>VLOOKUP(B33,'Форма КП'!$B$24:$G$35,5,FALSE)</f>
        <v>Материал заказчика</v>
      </c>
      <c r="Q33" s="50"/>
      <c r="R33" s="49" t="str">
        <f t="shared" ref="R33:R34" si="20">P33</f>
        <v>Материал заказчика</v>
      </c>
      <c r="S33" s="50"/>
    </row>
    <row r="34" spans="1:19" x14ac:dyDescent="0.25">
      <c r="A34" s="121">
        <v>17</v>
      </c>
      <c r="B34" s="116" t="s">
        <v>164</v>
      </c>
      <c r="C34" s="122" t="s">
        <v>131</v>
      </c>
      <c r="D34" s="88">
        <v>0.15</v>
      </c>
      <c r="E34" s="123" t="s">
        <v>132</v>
      </c>
      <c r="F34" s="124">
        <f t="shared" si="0"/>
        <v>16.22</v>
      </c>
      <c r="G34" s="87">
        <f>G32*D34</f>
        <v>2.33</v>
      </c>
      <c r="H34" s="87">
        <f>H32*D34</f>
        <v>2.33</v>
      </c>
      <c r="I34" s="87">
        <f>I32*D34</f>
        <v>2.29</v>
      </c>
      <c r="J34" s="87">
        <f>J32*D34</f>
        <v>2.33</v>
      </c>
      <c r="K34" s="87">
        <f>K32*D34</f>
        <v>2.3199999999999998</v>
      </c>
      <c r="L34" s="87">
        <f>L32*D34</f>
        <v>2.31</v>
      </c>
      <c r="M34" s="87">
        <f>M32*D34</f>
        <v>2.31</v>
      </c>
      <c r="N34" s="29"/>
      <c r="O34" s="29"/>
      <c r="P34" s="85">
        <f>VLOOKUP(B34,'Форма КП'!$B$24:$G$35,5,FALSE)</f>
        <v>0</v>
      </c>
      <c r="Q34" s="85">
        <f t="shared" ref="Q34" si="21">P34*F34</f>
        <v>0</v>
      </c>
      <c r="R34" s="32">
        <f t="shared" si="20"/>
        <v>0</v>
      </c>
      <c r="S34" s="32">
        <f t="shared" ref="S34" si="22">P34*F34</f>
        <v>0</v>
      </c>
    </row>
    <row r="35" spans="1:19" ht="132" x14ac:dyDescent="0.25">
      <c r="A35" s="115">
        <v>18</v>
      </c>
      <c r="B35" s="116" t="s">
        <v>172</v>
      </c>
      <c r="C35" s="117" t="s">
        <v>186</v>
      </c>
      <c r="D35" s="118"/>
      <c r="E35" s="119" t="s">
        <v>130</v>
      </c>
      <c r="F35" s="120">
        <f t="shared" si="0"/>
        <v>49.47</v>
      </c>
      <c r="G35" s="101">
        <v>0</v>
      </c>
      <c r="H35" s="101">
        <v>0</v>
      </c>
      <c r="I35" s="101">
        <v>0</v>
      </c>
      <c r="J35" s="101">
        <f>49.47</f>
        <v>49.47</v>
      </c>
      <c r="K35" s="101">
        <v>0</v>
      </c>
      <c r="L35" s="101">
        <v>0</v>
      </c>
      <c r="M35" s="101">
        <v>0</v>
      </c>
      <c r="N35" s="100">
        <f>VLOOKUP(B35,'Форма КП'!$B$17:$G$22,5,FALSE)</f>
        <v>0</v>
      </c>
      <c r="O35" s="100">
        <f>N35*F35</f>
        <v>0</v>
      </c>
      <c r="P35" s="100"/>
      <c r="Q35" s="100"/>
      <c r="R35" s="100">
        <f>N35</f>
        <v>0</v>
      </c>
      <c r="S35" s="100">
        <f>N35*F35</f>
        <v>0</v>
      </c>
    </row>
    <row r="36" spans="1:19" x14ac:dyDescent="0.25">
      <c r="A36" s="121">
        <v>19</v>
      </c>
      <c r="B36" s="116" t="s">
        <v>173</v>
      </c>
      <c r="C36" s="122" t="s">
        <v>174</v>
      </c>
      <c r="D36" s="125">
        <v>1.03</v>
      </c>
      <c r="E36" s="123" t="s">
        <v>130</v>
      </c>
      <c r="F36" s="124">
        <f t="shared" si="0"/>
        <v>50.95</v>
      </c>
      <c r="G36" s="87">
        <f>G35*D36</f>
        <v>0</v>
      </c>
      <c r="H36" s="87">
        <f>H35*D36</f>
        <v>0</v>
      </c>
      <c r="I36" s="87">
        <f>I35*D36</f>
        <v>0</v>
      </c>
      <c r="J36" s="87">
        <f>J35*D36</f>
        <v>50.95</v>
      </c>
      <c r="K36" s="87">
        <f>K35*D36</f>
        <v>0</v>
      </c>
      <c r="L36" s="87">
        <f>L35*D36</f>
        <v>0</v>
      </c>
      <c r="M36" s="87">
        <f>M35*D36</f>
        <v>0</v>
      </c>
      <c r="N36" s="29"/>
      <c r="O36" s="29"/>
      <c r="P36" s="49" t="str">
        <f>VLOOKUP(B36,'Форма КП'!$B$24:$G$35,5,FALSE)</f>
        <v>Материал заказчика</v>
      </c>
      <c r="Q36" s="50"/>
      <c r="R36" s="49" t="str">
        <f t="shared" ref="R36" si="23">P36</f>
        <v>Материал заказчика</v>
      </c>
      <c r="S36" s="50"/>
    </row>
    <row r="37" spans="1:19" x14ac:dyDescent="0.25">
      <c r="A37" s="108" t="s">
        <v>134</v>
      </c>
      <c r="B37" s="109"/>
      <c r="C37" s="110"/>
      <c r="D37" s="111"/>
      <c r="E37" s="112"/>
      <c r="F37" s="113"/>
      <c r="G37" s="114"/>
      <c r="H37" s="114"/>
      <c r="I37" s="114"/>
      <c r="J37" s="114"/>
      <c r="K37" s="114"/>
      <c r="L37" s="114"/>
      <c r="M37" s="114"/>
      <c r="N37" s="33"/>
      <c r="O37" s="33"/>
      <c r="P37" s="33"/>
      <c r="Q37" s="33"/>
      <c r="R37" s="33"/>
      <c r="S37" s="31"/>
    </row>
    <row r="38" spans="1:19" ht="276" x14ac:dyDescent="0.25">
      <c r="A38" s="115">
        <v>20</v>
      </c>
      <c r="B38" s="116" t="s">
        <v>152</v>
      </c>
      <c r="C38" s="117" t="s">
        <v>182</v>
      </c>
      <c r="D38" s="118"/>
      <c r="E38" s="119" t="s">
        <v>130</v>
      </c>
      <c r="F38" s="120">
        <f t="shared" ref="F38:F55" si="24">SUM(G38:M38)</f>
        <v>26.06</v>
      </c>
      <c r="G38" s="101">
        <f>7.35</f>
        <v>7.35</v>
      </c>
      <c r="H38" s="101">
        <f>2.84</f>
        <v>2.84</v>
      </c>
      <c r="I38" s="101">
        <f>2.84</f>
        <v>2.84</v>
      </c>
      <c r="J38" s="101">
        <v>0</v>
      </c>
      <c r="K38" s="101">
        <f>2.84</f>
        <v>2.84</v>
      </c>
      <c r="L38" s="101">
        <f>7.35</f>
        <v>7.35</v>
      </c>
      <c r="M38" s="101">
        <f>2.84</f>
        <v>2.84</v>
      </c>
      <c r="N38" s="100">
        <f>VLOOKUP(B38,'Форма КП'!$B$17:$G$22,5,FALSE)</f>
        <v>0</v>
      </c>
      <c r="O38" s="100">
        <f>N38*F38</f>
        <v>0</v>
      </c>
      <c r="P38" s="100"/>
      <c r="Q38" s="100"/>
      <c r="R38" s="100">
        <f>N38</f>
        <v>0</v>
      </c>
      <c r="S38" s="100">
        <f>N38*F38</f>
        <v>0</v>
      </c>
    </row>
    <row r="39" spans="1:19" x14ac:dyDescent="0.25">
      <c r="A39" s="121">
        <v>21</v>
      </c>
      <c r="B39" s="116" t="s">
        <v>153</v>
      </c>
      <c r="C39" s="122" t="s">
        <v>154</v>
      </c>
      <c r="D39" s="88">
        <v>2.06</v>
      </c>
      <c r="E39" s="123" t="s">
        <v>130</v>
      </c>
      <c r="F39" s="124">
        <f t="shared" si="24"/>
        <v>53.68</v>
      </c>
      <c r="G39" s="87">
        <f>G38*D39</f>
        <v>15.14</v>
      </c>
      <c r="H39" s="87">
        <f>H38*D39</f>
        <v>5.85</v>
      </c>
      <c r="I39" s="87">
        <f>I38*D39</f>
        <v>5.85</v>
      </c>
      <c r="J39" s="87">
        <f>J38*D39</f>
        <v>0</v>
      </c>
      <c r="K39" s="87">
        <f>K38*D39</f>
        <v>5.85</v>
      </c>
      <c r="L39" s="87">
        <f>L38*D39</f>
        <v>15.14</v>
      </c>
      <c r="M39" s="87">
        <f>M38*D39</f>
        <v>5.85</v>
      </c>
      <c r="N39" s="29"/>
      <c r="O39" s="29"/>
      <c r="P39" s="85">
        <f>VLOOKUP(B39,'Форма КП'!$B$24:$G$35,5,FALSE)</f>
        <v>0</v>
      </c>
      <c r="Q39" s="85">
        <f t="shared" ref="Q39:Q41" si="25">P39*F39</f>
        <v>0</v>
      </c>
      <c r="R39" s="32">
        <f t="shared" ref="R39:R41" si="26">P39</f>
        <v>0</v>
      </c>
      <c r="S39" s="32">
        <f t="shared" ref="S39:S41" si="27">P39*F39</f>
        <v>0</v>
      </c>
    </row>
    <row r="40" spans="1:19" ht="24" x14ac:dyDescent="0.25">
      <c r="A40" s="121">
        <v>22</v>
      </c>
      <c r="B40" s="116" t="s">
        <v>155</v>
      </c>
      <c r="C40" s="122" t="s">
        <v>156</v>
      </c>
      <c r="D40" s="88">
        <v>1.36</v>
      </c>
      <c r="E40" s="123" t="s">
        <v>6</v>
      </c>
      <c r="F40" s="124">
        <f t="shared" si="24"/>
        <v>35.44</v>
      </c>
      <c r="G40" s="87">
        <f>G38*D40</f>
        <v>10</v>
      </c>
      <c r="H40" s="87">
        <f>H38*D40</f>
        <v>3.86</v>
      </c>
      <c r="I40" s="87">
        <f>I38*D40</f>
        <v>3.86</v>
      </c>
      <c r="J40" s="87">
        <f>J38*D40</f>
        <v>0</v>
      </c>
      <c r="K40" s="87">
        <f>K38*D40</f>
        <v>3.86</v>
      </c>
      <c r="L40" s="87">
        <f>L38*D40</f>
        <v>10</v>
      </c>
      <c r="M40" s="87">
        <f>M38*D40</f>
        <v>3.86</v>
      </c>
      <c r="N40" s="29"/>
      <c r="O40" s="29"/>
      <c r="P40" s="85">
        <f>VLOOKUP(B40,'Форма КП'!$B$24:$G$35,5,FALSE)</f>
        <v>0</v>
      </c>
      <c r="Q40" s="85">
        <f t="shared" si="25"/>
        <v>0</v>
      </c>
      <c r="R40" s="32">
        <f t="shared" si="26"/>
        <v>0</v>
      </c>
      <c r="S40" s="32">
        <f t="shared" si="27"/>
        <v>0</v>
      </c>
    </row>
    <row r="41" spans="1:19" x14ac:dyDescent="0.25">
      <c r="A41" s="121">
        <v>23</v>
      </c>
      <c r="B41" s="116" t="s">
        <v>157</v>
      </c>
      <c r="C41" s="122" t="s">
        <v>158</v>
      </c>
      <c r="D41" s="88">
        <v>3.06</v>
      </c>
      <c r="E41" s="123" t="s">
        <v>6</v>
      </c>
      <c r="F41" s="124">
        <f t="shared" si="24"/>
        <v>79.739999999999995</v>
      </c>
      <c r="G41" s="87">
        <f>G38*D41</f>
        <v>22.49</v>
      </c>
      <c r="H41" s="87">
        <f>H38*D41</f>
        <v>8.69</v>
      </c>
      <c r="I41" s="87">
        <f>I38*D41</f>
        <v>8.69</v>
      </c>
      <c r="J41" s="87">
        <f>J38*D41</f>
        <v>0</v>
      </c>
      <c r="K41" s="87">
        <f>K38*D41</f>
        <v>8.69</v>
      </c>
      <c r="L41" s="87">
        <f>L38*D41</f>
        <v>22.49</v>
      </c>
      <c r="M41" s="87">
        <f>M38*D41</f>
        <v>8.69</v>
      </c>
      <c r="N41" s="29"/>
      <c r="O41" s="29"/>
      <c r="P41" s="85">
        <f>VLOOKUP(B41,'Форма КП'!$B$24:$G$35,5,FALSE)</f>
        <v>0</v>
      </c>
      <c r="Q41" s="85">
        <f t="shared" si="25"/>
        <v>0</v>
      </c>
      <c r="R41" s="32">
        <f t="shared" si="26"/>
        <v>0</v>
      </c>
      <c r="S41" s="32">
        <f t="shared" si="27"/>
        <v>0</v>
      </c>
    </row>
    <row r="42" spans="1:19" ht="156" x14ac:dyDescent="0.25">
      <c r="A42" s="115">
        <v>24</v>
      </c>
      <c r="B42" s="116" t="s">
        <v>159</v>
      </c>
      <c r="C42" s="117" t="s">
        <v>183</v>
      </c>
      <c r="D42" s="118"/>
      <c r="E42" s="119" t="s">
        <v>130</v>
      </c>
      <c r="F42" s="120">
        <f t="shared" si="24"/>
        <v>26.06</v>
      </c>
      <c r="G42" s="87">
        <v>7.35</v>
      </c>
      <c r="H42" s="87">
        <v>2.84</v>
      </c>
      <c r="I42" s="87">
        <v>2.84</v>
      </c>
      <c r="J42" s="87">
        <v>0</v>
      </c>
      <c r="K42" s="87">
        <v>2.84</v>
      </c>
      <c r="L42" s="87">
        <v>7.35</v>
      </c>
      <c r="M42" s="87">
        <v>2.84</v>
      </c>
      <c r="N42" s="100">
        <f>VLOOKUP(B42,'Форма КП'!$B$17:$G$22,5,FALSE)</f>
        <v>0</v>
      </c>
      <c r="O42" s="100">
        <f>N42*F42</f>
        <v>0</v>
      </c>
      <c r="P42" s="100"/>
      <c r="Q42" s="100"/>
      <c r="R42" s="100">
        <f>N42</f>
        <v>0</v>
      </c>
      <c r="S42" s="100">
        <f>N42*F42</f>
        <v>0</v>
      </c>
    </row>
    <row r="43" spans="1:19" ht="24" x14ac:dyDescent="0.25">
      <c r="A43" s="121">
        <v>25</v>
      </c>
      <c r="B43" s="116" t="s">
        <v>160</v>
      </c>
      <c r="C43" s="122" t="s">
        <v>161</v>
      </c>
      <c r="D43" s="125">
        <v>0.25</v>
      </c>
      <c r="E43" s="123" t="s">
        <v>132</v>
      </c>
      <c r="F43" s="124">
        <f t="shared" si="24"/>
        <v>6.52</v>
      </c>
      <c r="G43" s="87">
        <f>G42*D43</f>
        <v>1.84</v>
      </c>
      <c r="H43" s="87">
        <f>H42*D43</f>
        <v>0.71</v>
      </c>
      <c r="I43" s="87">
        <f>I42*D43</f>
        <v>0.71</v>
      </c>
      <c r="J43" s="87">
        <f>J42*D43</f>
        <v>0</v>
      </c>
      <c r="K43" s="87">
        <f>K42*D43</f>
        <v>0.71</v>
      </c>
      <c r="L43" s="87">
        <f>L42*D43</f>
        <v>1.84</v>
      </c>
      <c r="M43" s="87">
        <f>M42*D43</f>
        <v>0.71</v>
      </c>
      <c r="N43" s="29"/>
      <c r="O43" s="29"/>
      <c r="P43" s="49" t="str">
        <f>VLOOKUP(B43,'Форма КП'!$B$24:$G$35,5,FALSE)</f>
        <v>Материал заказчика</v>
      </c>
      <c r="Q43" s="50"/>
      <c r="R43" s="49" t="str">
        <f t="shared" ref="R43:R45" si="28">P43</f>
        <v>Материал заказчика</v>
      </c>
      <c r="S43" s="50"/>
    </row>
    <row r="44" spans="1:19" x14ac:dyDescent="0.25">
      <c r="A44" s="121">
        <v>26</v>
      </c>
      <c r="B44" s="116" t="s">
        <v>162</v>
      </c>
      <c r="C44" s="122" t="s">
        <v>163</v>
      </c>
      <c r="D44" s="125">
        <v>2.4</v>
      </c>
      <c r="E44" s="123" t="s">
        <v>133</v>
      </c>
      <c r="F44" s="124">
        <f t="shared" si="24"/>
        <v>62.56</v>
      </c>
      <c r="G44" s="87">
        <f>G42*D44</f>
        <v>17.64</v>
      </c>
      <c r="H44" s="87">
        <f>H42*D44</f>
        <v>6.82</v>
      </c>
      <c r="I44" s="87">
        <f>I42*D44</f>
        <v>6.82</v>
      </c>
      <c r="J44" s="87">
        <f>J42*D44</f>
        <v>0</v>
      </c>
      <c r="K44" s="87">
        <f>K42*D44</f>
        <v>6.82</v>
      </c>
      <c r="L44" s="87">
        <f>L42*D44</f>
        <v>17.64</v>
      </c>
      <c r="M44" s="87">
        <f>M42*D44</f>
        <v>6.82</v>
      </c>
      <c r="N44" s="29"/>
      <c r="O44" s="29"/>
      <c r="P44" s="49" t="str">
        <f>VLOOKUP(B44,'Форма КП'!$B$24:$G$35,5,FALSE)</f>
        <v>Материал заказчика</v>
      </c>
      <c r="Q44" s="50"/>
      <c r="R44" s="49" t="str">
        <f t="shared" si="28"/>
        <v>Материал заказчика</v>
      </c>
      <c r="S44" s="50"/>
    </row>
    <row r="45" spans="1:19" x14ac:dyDescent="0.25">
      <c r="A45" s="121">
        <v>27</v>
      </c>
      <c r="B45" s="116" t="s">
        <v>164</v>
      </c>
      <c r="C45" s="122" t="s">
        <v>131</v>
      </c>
      <c r="D45" s="125">
        <v>0.3</v>
      </c>
      <c r="E45" s="123" t="s">
        <v>132</v>
      </c>
      <c r="F45" s="124">
        <f t="shared" si="24"/>
        <v>7.82</v>
      </c>
      <c r="G45" s="87">
        <f>G42*D45</f>
        <v>2.21</v>
      </c>
      <c r="H45" s="87">
        <f>H42*D45</f>
        <v>0.85</v>
      </c>
      <c r="I45" s="87">
        <f>I42*D45</f>
        <v>0.85</v>
      </c>
      <c r="J45" s="87">
        <f>J42*D45</f>
        <v>0</v>
      </c>
      <c r="K45" s="87">
        <f>K42*D45</f>
        <v>0.85</v>
      </c>
      <c r="L45" s="87">
        <f>L42*D45</f>
        <v>2.21</v>
      </c>
      <c r="M45" s="87">
        <f>M42*D45</f>
        <v>0.85</v>
      </c>
      <c r="N45" s="29"/>
      <c r="O45" s="29"/>
      <c r="P45" s="85">
        <f>VLOOKUP(B45,'Форма КП'!$B$24:$G$35,5,FALSE)</f>
        <v>0</v>
      </c>
      <c r="Q45" s="85">
        <f t="shared" ref="Q45" si="29">P45*F45</f>
        <v>0</v>
      </c>
      <c r="R45" s="32">
        <f t="shared" si="28"/>
        <v>0</v>
      </c>
      <c r="S45" s="32">
        <f t="shared" ref="S45" si="30">P45*F45</f>
        <v>0</v>
      </c>
    </row>
    <row r="46" spans="1:19" ht="108" x14ac:dyDescent="0.25">
      <c r="A46" s="115">
        <v>28</v>
      </c>
      <c r="B46" s="116" t="s">
        <v>165</v>
      </c>
      <c r="C46" s="117" t="s">
        <v>187</v>
      </c>
      <c r="D46" s="118"/>
      <c r="E46" s="119" t="s">
        <v>130</v>
      </c>
      <c r="F46" s="120">
        <f t="shared" si="24"/>
        <v>431.69</v>
      </c>
      <c r="G46" s="101">
        <v>63.58</v>
      </c>
      <c r="H46" s="101">
        <v>65.900000000000006</v>
      </c>
      <c r="I46" s="101">
        <v>65.900000000000006</v>
      </c>
      <c r="J46" s="101">
        <v>48.93</v>
      </c>
      <c r="K46" s="101">
        <v>64.73</v>
      </c>
      <c r="L46" s="101">
        <v>58.02</v>
      </c>
      <c r="M46" s="101">
        <v>64.63</v>
      </c>
      <c r="N46" s="100">
        <f>VLOOKUP(B46,'Форма КП'!$B$17:$G$22,5,FALSE)</f>
        <v>0</v>
      </c>
      <c r="O46" s="100">
        <f>N46*F46</f>
        <v>0</v>
      </c>
      <c r="P46" s="100"/>
      <c r="Q46" s="100"/>
      <c r="R46" s="100">
        <f>N46</f>
        <v>0</v>
      </c>
      <c r="S46" s="100">
        <f>N46*F46</f>
        <v>0</v>
      </c>
    </row>
    <row r="47" spans="1:19" ht="24" x14ac:dyDescent="0.25">
      <c r="A47" s="121">
        <v>29</v>
      </c>
      <c r="B47" s="116" t="s">
        <v>168</v>
      </c>
      <c r="C47" s="122" t="s">
        <v>169</v>
      </c>
      <c r="D47" s="125">
        <v>0.25</v>
      </c>
      <c r="E47" s="123" t="s">
        <v>132</v>
      </c>
      <c r="F47" s="124">
        <f t="shared" si="24"/>
        <v>107.94</v>
      </c>
      <c r="G47" s="87">
        <f>G46*D47</f>
        <v>15.9</v>
      </c>
      <c r="H47" s="87">
        <f>H46*D47</f>
        <v>16.48</v>
      </c>
      <c r="I47" s="87">
        <f>I46*D47</f>
        <v>16.48</v>
      </c>
      <c r="J47" s="87">
        <f>J46*D47</f>
        <v>12.23</v>
      </c>
      <c r="K47" s="87">
        <f>K46*D47</f>
        <v>16.18</v>
      </c>
      <c r="L47" s="87">
        <f>L46*D47</f>
        <v>14.51</v>
      </c>
      <c r="M47" s="87">
        <f>M46*D47</f>
        <v>16.16</v>
      </c>
      <c r="N47" s="29"/>
      <c r="O47" s="29"/>
      <c r="P47" s="49" t="str">
        <f>VLOOKUP(B47,'Форма КП'!$B$24:$G$35,5,FALSE)</f>
        <v>Материал заказчика</v>
      </c>
      <c r="Q47" s="50"/>
      <c r="R47" s="49" t="str">
        <f t="shared" ref="R47:R48" si="31">P47</f>
        <v>Материал заказчика</v>
      </c>
      <c r="S47" s="50"/>
    </row>
    <row r="48" spans="1:19" x14ac:dyDescent="0.25">
      <c r="A48" s="121">
        <v>30</v>
      </c>
      <c r="B48" s="116" t="s">
        <v>164</v>
      </c>
      <c r="C48" s="122" t="s">
        <v>131</v>
      </c>
      <c r="D48" s="125">
        <v>0.15</v>
      </c>
      <c r="E48" s="123" t="s">
        <v>132</v>
      </c>
      <c r="F48" s="124">
        <f t="shared" si="24"/>
        <v>64.760000000000005</v>
      </c>
      <c r="G48" s="87">
        <f>G46*D48</f>
        <v>9.5399999999999991</v>
      </c>
      <c r="H48" s="87">
        <f>H46*D48</f>
        <v>9.89</v>
      </c>
      <c r="I48" s="87">
        <f>I46*D48</f>
        <v>9.89</v>
      </c>
      <c r="J48" s="87">
        <f>J46*D48</f>
        <v>7.34</v>
      </c>
      <c r="K48" s="87">
        <f>K46*D48</f>
        <v>9.7100000000000009</v>
      </c>
      <c r="L48" s="87">
        <f>L46*D48</f>
        <v>8.6999999999999993</v>
      </c>
      <c r="M48" s="87">
        <f>M46*D48</f>
        <v>9.69</v>
      </c>
      <c r="N48" s="29"/>
      <c r="O48" s="29"/>
      <c r="P48" s="85">
        <f>VLOOKUP(B48,'Форма КП'!$B$24:$G$35,5,FALSE)</f>
        <v>0</v>
      </c>
      <c r="Q48" s="85">
        <f t="shared" ref="Q48" si="32">P48*F48</f>
        <v>0</v>
      </c>
      <c r="R48" s="32">
        <f t="shared" si="31"/>
        <v>0</v>
      </c>
      <c r="S48" s="32">
        <f t="shared" ref="S48" si="33">P48*F48</f>
        <v>0</v>
      </c>
    </row>
    <row r="49" spans="1:19" ht="108" x14ac:dyDescent="0.25">
      <c r="A49" s="115">
        <v>31</v>
      </c>
      <c r="B49" s="116" t="s">
        <v>165</v>
      </c>
      <c r="C49" s="117" t="s">
        <v>187</v>
      </c>
      <c r="D49" s="118"/>
      <c r="E49" s="119" t="s">
        <v>130</v>
      </c>
      <c r="F49" s="120">
        <f t="shared" si="24"/>
        <v>136.57</v>
      </c>
      <c r="G49" s="103">
        <f>19.19</f>
        <v>19.190000000000001</v>
      </c>
      <c r="H49" s="103">
        <f>19.25</f>
        <v>19.25</v>
      </c>
      <c r="I49" s="103">
        <f>19.25</f>
        <v>19.25</v>
      </c>
      <c r="J49" s="103">
        <f>19.62</f>
        <v>19.62</v>
      </c>
      <c r="K49" s="103">
        <f>19.52</f>
        <v>19.52</v>
      </c>
      <c r="L49" s="103">
        <f>19.77</f>
        <v>19.77</v>
      </c>
      <c r="M49" s="103">
        <f>19.97</f>
        <v>19.97</v>
      </c>
      <c r="N49" s="100">
        <f>VLOOKUP(B49,'Форма КП'!$B$17:$G$22,5,FALSE)</f>
        <v>0</v>
      </c>
      <c r="O49" s="100">
        <f>N49*F49</f>
        <v>0</v>
      </c>
      <c r="P49" s="100"/>
      <c r="Q49" s="100"/>
      <c r="R49" s="100">
        <f>N49</f>
        <v>0</v>
      </c>
      <c r="S49" s="100">
        <f>N49*F49</f>
        <v>0</v>
      </c>
    </row>
    <row r="50" spans="1:19" ht="24" x14ac:dyDescent="0.25">
      <c r="A50" s="121">
        <v>32</v>
      </c>
      <c r="B50" s="116" t="s">
        <v>170</v>
      </c>
      <c r="C50" s="122" t="s">
        <v>171</v>
      </c>
      <c r="D50" s="125">
        <v>0.25</v>
      </c>
      <c r="E50" s="123" t="s">
        <v>132</v>
      </c>
      <c r="F50" s="124">
        <f t="shared" si="24"/>
        <v>34.14</v>
      </c>
      <c r="G50" s="87">
        <f>G49*D50</f>
        <v>4.8</v>
      </c>
      <c r="H50" s="87">
        <f>H49*D50</f>
        <v>4.8099999999999996</v>
      </c>
      <c r="I50" s="87">
        <f>I49*D50</f>
        <v>4.8099999999999996</v>
      </c>
      <c r="J50" s="87">
        <f>J49*D50</f>
        <v>4.91</v>
      </c>
      <c r="K50" s="87">
        <f>K49*D50</f>
        <v>4.88</v>
      </c>
      <c r="L50" s="87">
        <f>L49*D50</f>
        <v>4.9400000000000004</v>
      </c>
      <c r="M50" s="87">
        <f>M49*D50</f>
        <v>4.99</v>
      </c>
      <c r="N50" s="29"/>
      <c r="O50" s="29"/>
      <c r="P50" s="49" t="str">
        <f>VLOOKUP(B50,'Форма КП'!$B$24:$G$35,5,FALSE)</f>
        <v>Материал заказчика</v>
      </c>
      <c r="Q50" s="50"/>
      <c r="R50" s="49" t="str">
        <f t="shared" ref="R50:R51" si="34">P50</f>
        <v>Материал заказчика</v>
      </c>
      <c r="S50" s="50"/>
    </row>
    <row r="51" spans="1:19" x14ac:dyDescent="0.25">
      <c r="A51" s="121">
        <v>33</v>
      </c>
      <c r="B51" s="116" t="s">
        <v>164</v>
      </c>
      <c r="C51" s="122" t="s">
        <v>131</v>
      </c>
      <c r="D51" s="125">
        <v>0.15</v>
      </c>
      <c r="E51" s="123" t="s">
        <v>132</v>
      </c>
      <c r="F51" s="124">
        <f t="shared" si="24"/>
        <v>20.5</v>
      </c>
      <c r="G51" s="87">
        <f>G49*D51</f>
        <v>2.88</v>
      </c>
      <c r="H51" s="87">
        <f>H49*D51</f>
        <v>2.89</v>
      </c>
      <c r="I51" s="87">
        <f>I49*D51</f>
        <v>2.89</v>
      </c>
      <c r="J51" s="87">
        <f>J49*D51</f>
        <v>2.94</v>
      </c>
      <c r="K51" s="87">
        <f>K49*D51</f>
        <v>2.93</v>
      </c>
      <c r="L51" s="87">
        <f>L49*D51</f>
        <v>2.97</v>
      </c>
      <c r="M51" s="87">
        <f>M49*D51</f>
        <v>3</v>
      </c>
      <c r="N51" s="29"/>
      <c r="O51" s="29"/>
      <c r="P51" s="85">
        <f>VLOOKUP(B51,'Форма КП'!$B$24:$G$35,5,FALSE)</f>
        <v>0</v>
      </c>
      <c r="Q51" s="85">
        <f t="shared" ref="Q51" si="35">P51*F51</f>
        <v>0</v>
      </c>
      <c r="R51" s="32">
        <f t="shared" si="34"/>
        <v>0</v>
      </c>
      <c r="S51" s="32">
        <f t="shared" ref="S51" si="36">P51*F51</f>
        <v>0</v>
      </c>
    </row>
    <row r="52" spans="1:19" ht="120" x14ac:dyDescent="0.25">
      <c r="A52" s="115">
        <v>34</v>
      </c>
      <c r="B52" s="116" t="s">
        <v>175</v>
      </c>
      <c r="C52" s="117" t="s">
        <v>185</v>
      </c>
      <c r="D52" s="118"/>
      <c r="E52" s="119" t="s">
        <v>130</v>
      </c>
      <c r="F52" s="120">
        <f t="shared" si="24"/>
        <v>29.13</v>
      </c>
      <c r="G52" s="101">
        <v>5.26</v>
      </c>
      <c r="H52" s="101">
        <v>3.32</v>
      </c>
      <c r="I52" s="101">
        <v>3.33</v>
      </c>
      <c r="J52" s="101">
        <v>5.29</v>
      </c>
      <c r="K52" s="101">
        <v>3.33</v>
      </c>
      <c r="L52" s="101">
        <v>5.27</v>
      </c>
      <c r="M52" s="101">
        <v>3.33</v>
      </c>
      <c r="N52" s="100">
        <f>VLOOKUP(B52,'Форма КП'!$B$17:$G$22,5,FALSE)</f>
        <v>0</v>
      </c>
      <c r="O52" s="100">
        <f>N52*F52</f>
        <v>0</v>
      </c>
      <c r="P52" s="100"/>
      <c r="Q52" s="100"/>
      <c r="R52" s="100">
        <f>N52</f>
        <v>0</v>
      </c>
      <c r="S52" s="100">
        <f>N52*F52</f>
        <v>0</v>
      </c>
    </row>
    <row r="53" spans="1:19" ht="24" x14ac:dyDescent="0.25">
      <c r="A53" s="121">
        <v>35</v>
      </c>
      <c r="B53" s="116" t="s">
        <v>176</v>
      </c>
      <c r="C53" s="122" t="s">
        <v>177</v>
      </c>
      <c r="D53" s="125">
        <v>1.03</v>
      </c>
      <c r="E53" s="123" t="s">
        <v>130</v>
      </c>
      <c r="F53" s="124">
        <f t="shared" si="24"/>
        <v>30.01</v>
      </c>
      <c r="G53" s="87">
        <f>G52*D53</f>
        <v>5.42</v>
      </c>
      <c r="H53" s="87">
        <f>H52*D53</f>
        <v>3.42</v>
      </c>
      <c r="I53" s="87">
        <f>I52*D53</f>
        <v>3.43</v>
      </c>
      <c r="J53" s="87">
        <f>J52*D53</f>
        <v>5.45</v>
      </c>
      <c r="K53" s="87">
        <f>K52*D53</f>
        <v>3.43</v>
      </c>
      <c r="L53" s="87">
        <f>L52*D53</f>
        <v>5.43</v>
      </c>
      <c r="M53" s="87">
        <f>M52*D53</f>
        <v>3.43</v>
      </c>
      <c r="N53" s="29"/>
      <c r="O53" s="29"/>
      <c r="P53" s="49" t="str">
        <f>VLOOKUP(B53,'Форма КП'!$B$24:$G$35,5,FALSE)</f>
        <v>Материал заказчика</v>
      </c>
      <c r="Q53" s="50"/>
      <c r="R53" s="49" t="str">
        <f t="shared" ref="R53" si="37">P53</f>
        <v>Материал заказчика</v>
      </c>
      <c r="S53" s="50"/>
    </row>
    <row r="54" spans="1:19" ht="132" x14ac:dyDescent="0.25">
      <c r="A54" s="115">
        <v>36</v>
      </c>
      <c r="B54" s="116" t="s">
        <v>172</v>
      </c>
      <c r="C54" s="117" t="s">
        <v>186</v>
      </c>
      <c r="D54" s="118"/>
      <c r="E54" s="119" t="s">
        <v>130</v>
      </c>
      <c r="F54" s="120">
        <f t="shared" si="24"/>
        <v>431.69</v>
      </c>
      <c r="G54" s="101">
        <f>63.58</f>
        <v>63.58</v>
      </c>
      <c r="H54" s="101">
        <f>65.9</f>
        <v>65.900000000000006</v>
      </c>
      <c r="I54" s="101">
        <v>65.900000000000006</v>
      </c>
      <c r="J54" s="101">
        <f>48.93</f>
        <v>48.93</v>
      </c>
      <c r="K54" s="101">
        <f>64.73</f>
        <v>64.73</v>
      </c>
      <c r="L54" s="101">
        <f>58.02</f>
        <v>58.02</v>
      </c>
      <c r="M54" s="101">
        <f>64.63</f>
        <v>64.63</v>
      </c>
      <c r="N54" s="100">
        <f>VLOOKUP(B54,'Форма КП'!$B$17:$G$22,5,FALSE)</f>
        <v>0</v>
      </c>
      <c r="O54" s="100">
        <f>N54*F54</f>
        <v>0</v>
      </c>
      <c r="P54" s="100"/>
      <c r="Q54" s="100"/>
      <c r="R54" s="100">
        <f>N54</f>
        <v>0</v>
      </c>
      <c r="S54" s="100">
        <f>N54*F54</f>
        <v>0</v>
      </c>
    </row>
    <row r="55" spans="1:19" x14ac:dyDescent="0.25">
      <c r="A55" s="121">
        <v>37</v>
      </c>
      <c r="B55" s="116" t="s">
        <v>173</v>
      </c>
      <c r="C55" s="122" t="s">
        <v>174</v>
      </c>
      <c r="D55" s="125">
        <v>1.03</v>
      </c>
      <c r="E55" s="123" t="s">
        <v>130</v>
      </c>
      <c r="F55" s="124">
        <f t="shared" si="24"/>
        <v>444.65</v>
      </c>
      <c r="G55" s="87">
        <f>G54*D55</f>
        <v>65.489999999999995</v>
      </c>
      <c r="H55" s="87">
        <f>H54*D55</f>
        <v>67.88</v>
      </c>
      <c r="I55" s="87">
        <f>I54*D55</f>
        <v>67.88</v>
      </c>
      <c r="J55" s="87">
        <f>J54*D55</f>
        <v>50.4</v>
      </c>
      <c r="K55" s="87">
        <f>K54*D55</f>
        <v>66.67</v>
      </c>
      <c r="L55" s="87">
        <f>L54*D55</f>
        <v>59.76</v>
      </c>
      <c r="M55" s="87">
        <f>M54*D55</f>
        <v>66.569999999999993</v>
      </c>
      <c r="N55" s="29"/>
      <c r="O55" s="29"/>
      <c r="P55" s="49" t="str">
        <f>VLOOKUP(B55,'Форма КП'!$B$24:$G$35,5,FALSE)</f>
        <v>Материал заказчика</v>
      </c>
      <c r="Q55" s="50"/>
      <c r="R55" s="49" t="str">
        <f t="shared" ref="R55" si="38">P55</f>
        <v>Материал заказчика</v>
      </c>
      <c r="S55" s="50"/>
    </row>
    <row r="56" spans="1:19" x14ac:dyDescent="0.25">
      <c r="A56" s="108" t="s">
        <v>135</v>
      </c>
      <c r="B56" s="109"/>
      <c r="C56" s="110"/>
      <c r="D56" s="111"/>
      <c r="E56" s="112"/>
      <c r="F56" s="113"/>
      <c r="G56" s="114"/>
      <c r="H56" s="114"/>
      <c r="I56" s="114"/>
      <c r="J56" s="114"/>
      <c r="K56" s="114"/>
      <c r="L56" s="114"/>
      <c r="M56" s="114"/>
      <c r="N56" s="33"/>
      <c r="O56" s="33"/>
      <c r="P56" s="33"/>
      <c r="Q56" s="33"/>
      <c r="R56" s="33"/>
      <c r="S56" s="31"/>
    </row>
    <row r="57" spans="1:19" ht="108" x14ac:dyDescent="0.25">
      <c r="A57" s="115">
        <v>38</v>
      </c>
      <c r="B57" s="116" t="s">
        <v>165</v>
      </c>
      <c r="C57" s="117" t="s">
        <v>187</v>
      </c>
      <c r="D57" s="118"/>
      <c r="E57" s="119" t="s">
        <v>130</v>
      </c>
      <c r="F57" s="120">
        <f t="shared" ref="F57:F64" si="39">SUM(G57:M57)</f>
        <v>103.17</v>
      </c>
      <c r="G57" s="103">
        <f>14.74</f>
        <v>14.74</v>
      </c>
      <c r="H57" s="103">
        <f>14.73</f>
        <v>14.73</v>
      </c>
      <c r="I57" s="103">
        <f>14.74</f>
        <v>14.74</v>
      </c>
      <c r="J57" s="103">
        <f>14.74</f>
        <v>14.74</v>
      </c>
      <c r="K57" s="103">
        <f>14.74</f>
        <v>14.74</v>
      </c>
      <c r="L57" s="103">
        <f>14.74</f>
        <v>14.74</v>
      </c>
      <c r="M57" s="103">
        <f>14.74</f>
        <v>14.74</v>
      </c>
      <c r="N57" s="100">
        <f>VLOOKUP(B57,'Форма КП'!$B$17:$G$22,5,FALSE)</f>
        <v>0</v>
      </c>
      <c r="O57" s="100">
        <f>N57*F57</f>
        <v>0</v>
      </c>
      <c r="P57" s="100"/>
      <c r="Q57" s="100"/>
      <c r="R57" s="100">
        <f>N57</f>
        <v>0</v>
      </c>
      <c r="S57" s="100">
        <f>N57*F57</f>
        <v>0</v>
      </c>
    </row>
    <row r="58" spans="1:19" ht="24" x14ac:dyDescent="0.25">
      <c r="A58" s="121">
        <v>39</v>
      </c>
      <c r="B58" s="116" t="s">
        <v>170</v>
      </c>
      <c r="C58" s="122" t="s">
        <v>171</v>
      </c>
      <c r="D58" s="125">
        <v>0.25</v>
      </c>
      <c r="E58" s="123" t="s">
        <v>132</v>
      </c>
      <c r="F58" s="124">
        <f t="shared" si="39"/>
        <v>25.82</v>
      </c>
      <c r="G58" s="87">
        <f>G57*D58</f>
        <v>3.69</v>
      </c>
      <c r="H58" s="87">
        <f>H57*D58</f>
        <v>3.68</v>
      </c>
      <c r="I58" s="87">
        <f>I57*D58</f>
        <v>3.69</v>
      </c>
      <c r="J58" s="87">
        <f>J57*D58</f>
        <v>3.69</v>
      </c>
      <c r="K58" s="87">
        <f>K57*D58</f>
        <v>3.69</v>
      </c>
      <c r="L58" s="87">
        <f>L57*D58</f>
        <v>3.69</v>
      </c>
      <c r="M58" s="87">
        <f>M57*D58</f>
        <v>3.69</v>
      </c>
      <c r="N58" s="29"/>
      <c r="O58" s="29"/>
      <c r="P58" s="49" t="str">
        <f>VLOOKUP(B58,'Форма КП'!$B$24:$G$35,5,FALSE)</f>
        <v>Материал заказчика</v>
      </c>
      <c r="Q58" s="50"/>
      <c r="R58" s="49" t="str">
        <f t="shared" ref="R58:R59" si="40">P58</f>
        <v>Материал заказчика</v>
      </c>
      <c r="S58" s="50"/>
    </row>
    <row r="59" spans="1:19" x14ac:dyDescent="0.25">
      <c r="A59" s="121">
        <v>40</v>
      </c>
      <c r="B59" s="116" t="s">
        <v>164</v>
      </c>
      <c r="C59" s="122" t="s">
        <v>131</v>
      </c>
      <c r="D59" s="125">
        <v>0.15</v>
      </c>
      <c r="E59" s="123" t="s">
        <v>132</v>
      </c>
      <c r="F59" s="124">
        <f t="shared" si="39"/>
        <v>15.47</v>
      </c>
      <c r="G59" s="87">
        <f>G57*D59</f>
        <v>2.21</v>
      </c>
      <c r="H59" s="87">
        <f>H57*D59</f>
        <v>2.21</v>
      </c>
      <c r="I59" s="87">
        <f>I57*D59</f>
        <v>2.21</v>
      </c>
      <c r="J59" s="87">
        <f>J57*D59</f>
        <v>2.21</v>
      </c>
      <c r="K59" s="87">
        <f>K57*D59</f>
        <v>2.21</v>
      </c>
      <c r="L59" s="87">
        <f>L57*D59</f>
        <v>2.21</v>
      </c>
      <c r="M59" s="87">
        <f>M57*D59</f>
        <v>2.21</v>
      </c>
      <c r="N59" s="29"/>
      <c r="O59" s="29"/>
      <c r="P59" s="85">
        <f>VLOOKUP(B59,'Форма КП'!$B$24:$G$35,5,FALSE)</f>
        <v>0</v>
      </c>
      <c r="Q59" s="85">
        <f t="shared" ref="Q59" si="41">P59*F59</f>
        <v>0</v>
      </c>
      <c r="R59" s="32">
        <f t="shared" si="40"/>
        <v>0</v>
      </c>
      <c r="S59" s="32">
        <f t="shared" ref="S59" si="42">P59*F59</f>
        <v>0</v>
      </c>
    </row>
    <row r="60" spans="1:19" ht="108" x14ac:dyDescent="0.25">
      <c r="A60" s="115">
        <v>41</v>
      </c>
      <c r="B60" s="116" t="s">
        <v>165</v>
      </c>
      <c r="C60" s="117" t="s">
        <v>187</v>
      </c>
      <c r="D60" s="118"/>
      <c r="E60" s="119" t="s">
        <v>130</v>
      </c>
      <c r="F60" s="120">
        <f t="shared" si="39"/>
        <v>267.73</v>
      </c>
      <c r="G60" s="101">
        <v>47.57</v>
      </c>
      <c r="H60" s="101">
        <v>34.22</v>
      </c>
      <c r="I60" s="101">
        <v>34.229999999999997</v>
      </c>
      <c r="J60" s="101">
        <v>41.62</v>
      </c>
      <c r="K60" s="101">
        <v>34.21</v>
      </c>
      <c r="L60" s="101">
        <v>41.67</v>
      </c>
      <c r="M60" s="101">
        <v>34.21</v>
      </c>
      <c r="N60" s="100">
        <f>VLOOKUP(B60,'Форма КП'!$B$17:$G$22,5,FALSE)</f>
        <v>0</v>
      </c>
      <c r="O60" s="100">
        <f>N60*F60</f>
        <v>0</v>
      </c>
      <c r="P60" s="100"/>
      <c r="Q60" s="100"/>
      <c r="R60" s="100">
        <f>N60</f>
        <v>0</v>
      </c>
      <c r="S60" s="100">
        <f>N60*F60</f>
        <v>0</v>
      </c>
    </row>
    <row r="61" spans="1:19" ht="24" x14ac:dyDescent="0.25">
      <c r="A61" s="121">
        <v>42</v>
      </c>
      <c r="B61" s="116" t="s">
        <v>168</v>
      </c>
      <c r="C61" s="122" t="s">
        <v>169</v>
      </c>
      <c r="D61" s="125">
        <v>0.25</v>
      </c>
      <c r="E61" s="123" t="s">
        <v>132</v>
      </c>
      <c r="F61" s="124">
        <f t="shared" si="39"/>
        <v>66.94</v>
      </c>
      <c r="G61" s="87">
        <f>G60*D61</f>
        <v>11.89</v>
      </c>
      <c r="H61" s="87">
        <f>H60*D61</f>
        <v>8.56</v>
      </c>
      <c r="I61" s="87">
        <f>I60*D61</f>
        <v>8.56</v>
      </c>
      <c r="J61" s="87">
        <f>J60*D61</f>
        <v>10.41</v>
      </c>
      <c r="K61" s="87">
        <f>K60*D61</f>
        <v>8.5500000000000007</v>
      </c>
      <c r="L61" s="87">
        <f>L60*D61</f>
        <v>10.42</v>
      </c>
      <c r="M61" s="87">
        <f>M60*D61</f>
        <v>8.5500000000000007</v>
      </c>
      <c r="N61" s="29"/>
      <c r="O61" s="29"/>
      <c r="P61" s="49" t="str">
        <f>VLOOKUP(B61,'Форма КП'!$B$24:$G$35,5,FALSE)</f>
        <v>Материал заказчика</v>
      </c>
      <c r="Q61" s="50"/>
      <c r="R61" s="49" t="str">
        <f t="shared" ref="R61:R62" si="43">P61</f>
        <v>Материал заказчика</v>
      </c>
      <c r="S61" s="50"/>
    </row>
    <row r="62" spans="1:19" x14ac:dyDescent="0.25">
      <c r="A62" s="121">
        <v>43</v>
      </c>
      <c r="B62" s="116" t="s">
        <v>164</v>
      </c>
      <c r="C62" s="122" t="s">
        <v>131</v>
      </c>
      <c r="D62" s="125">
        <v>0.15</v>
      </c>
      <c r="E62" s="123" t="s">
        <v>132</v>
      </c>
      <c r="F62" s="124">
        <f t="shared" si="39"/>
        <v>40.15</v>
      </c>
      <c r="G62" s="87">
        <f>G60*D62</f>
        <v>7.14</v>
      </c>
      <c r="H62" s="87">
        <f>H60*D62</f>
        <v>5.13</v>
      </c>
      <c r="I62" s="87">
        <f>I60*D62</f>
        <v>5.13</v>
      </c>
      <c r="J62" s="87">
        <f>J60*D62</f>
        <v>6.24</v>
      </c>
      <c r="K62" s="87">
        <f>K60*D62</f>
        <v>5.13</v>
      </c>
      <c r="L62" s="87">
        <f>L60*D62</f>
        <v>6.25</v>
      </c>
      <c r="M62" s="87">
        <f>M60*D62</f>
        <v>5.13</v>
      </c>
      <c r="N62" s="29"/>
      <c r="O62" s="29"/>
      <c r="P62" s="85">
        <f>VLOOKUP(B62,'Форма КП'!$B$24:$G$35,5,FALSE)</f>
        <v>0</v>
      </c>
      <c r="Q62" s="85">
        <f t="shared" ref="Q62" si="44">P62*F62</f>
        <v>0</v>
      </c>
      <c r="R62" s="32">
        <f t="shared" si="43"/>
        <v>0</v>
      </c>
      <c r="S62" s="32">
        <f t="shared" ref="S62" si="45">P62*F62</f>
        <v>0</v>
      </c>
    </row>
    <row r="63" spans="1:19" ht="144" x14ac:dyDescent="0.25">
      <c r="A63" s="115">
        <v>44</v>
      </c>
      <c r="B63" s="116" t="s">
        <v>178</v>
      </c>
      <c r="C63" s="117" t="s">
        <v>184</v>
      </c>
      <c r="D63" s="118"/>
      <c r="E63" s="119" t="s">
        <v>130</v>
      </c>
      <c r="F63" s="120">
        <f t="shared" si="39"/>
        <v>267.73</v>
      </c>
      <c r="G63" s="101">
        <f>47.57</f>
        <v>47.57</v>
      </c>
      <c r="H63" s="101">
        <f>34.22</f>
        <v>34.22</v>
      </c>
      <c r="I63" s="101">
        <f>34.23</f>
        <v>34.229999999999997</v>
      </c>
      <c r="J63" s="101">
        <f>41.62</f>
        <v>41.62</v>
      </c>
      <c r="K63" s="101">
        <f>34.21</f>
        <v>34.21</v>
      </c>
      <c r="L63" s="101">
        <f>41.67</f>
        <v>41.67</v>
      </c>
      <c r="M63" s="101">
        <f>34.21</f>
        <v>34.21</v>
      </c>
      <c r="N63" s="100">
        <f>VLOOKUP(B63,'Форма КП'!$B$17:$G$22,5,FALSE)</f>
        <v>0</v>
      </c>
      <c r="O63" s="100">
        <f>N63*F63</f>
        <v>0</v>
      </c>
      <c r="P63" s="100"/>
      <c r="Q63" s="100"/>
      <c r="R63" s="100">
        <f>N63</f>
        <v>0</v>
      </c>
      <c r="S63" s="100">
        <f>N63*F63</f>
        <v>0</v>
      </c>
    </row>
    <row r="64" spans="1:19" ht="24" x14ac:dyDescent="0.25">
      <c r="A64" s="121">
        <v>45</v>
      </c>
      <c r="B64" s="116" t="s">
        <v>179</v>
      </c>
      <c r="C64" s="122" t="s">
        <v>180</v>
      </c>
      <c r="D64" s="125">
        <v>1.03</v>
      </c>
      <c r="E64" s="123" t="s">
        <v>130</v>
      </c>
      <c r="F64" s="124">
        <f t="shared" si="39"/>
        <v>275.77999999999997</v>
      </c>
      <c r="G64" s="87">
        <f>G63*D64</f>
        <v>49</v>
      </c>
      <c r="H64" s="87">
        <f>H63*D64</f>
        <v>35.25</v>
      </c>
      <c r="I64" s="87">
        <f>I63*D64</f>
        <v>35.26</v>
      </c>
      <c r="J64" s="87">
        <f>J63*D64</f>
        <v>42.87</v>
      </c>
      <c r="K64" s="87">
        <f>K63*D64</f>
        <v>35.24</v>
      </c>
      <c r="L64" s="87">
        <f>L63*D64</f>
        <v>42.92</v>
      </c>
      <c r="M64" s="87">
        <f>M63*D64</f>
        <v>35.24</v>
      </c>
      <c r="N64" s="29"/>
      <c r="O64" s="29"/>
      <c r="P64" s="49" t="str">
        <f>VLOOKUP(B64,'Форма КП'!$B$24:$G$35,5,FALSE)</f>
        <v>Материал заказчика</v>
      </c>
      <c r="Q64" s="50"/>
      <c r="R64" s="49" t="str">
        <f t="shared" ref="R64" si="46">P64</f>
        <v>Материал заказчика</v>
      </c>
      <c r="S64" s="50"/>
    </row>
    <row r="65" spans="1:19" x14ac:dyDescent="0.25">
      <c r="A65" s="108" t="s">
        <v>136</v>
      </c>
      <c r="B65" s="109"/>
      <c r="C65" s="110"/>
      <c r="D65" s="111"/>
      <c r="E65" s="112"/>
      <c r="F65" s="113"/>
      <c r="G65" s="114"/>
      <c r="H65" s="114"/>
      <c r="I65" s="114"/>
      <c r="J65" s="114"/>
      <c r="K65" s="114"/>
      <c r="L65" s="114"/>
      <c r="M65" s="114"/>
      <c r="N65" s="33"/>
      <c r="O65" s="33"/>
      <c r="P65" s="33"/>
      <c r="Q65" s="33"/>
      <c r="R65" s="33"/>
      <c r="S65" s="31"/>
    </row>
    <row r="66" spans="1:19" ht="108" x14ac:dyDescent="0.25">
      <c r="A66" s="115">
        <v>46</v>
      </c>
      <c r="B66" s="116" t="s">
        <v>165</v>
      </c>
      <c r="C66" s="117" t="s">
        <v>187</v>
      </c>
      <c r="D66" s="118"/>
      <c r="E66" s="119" t="s">
        <v>130</v>
      </c>
      <c r="F66" s="120">
        <f t="shared" ref="F66:F73" si="47">SUM(G66:M66)</f>
        <v>103.17</v>
      </c>
      <c r="G66" s="103">
        <f>14.74</f>
        <v>14.74</v>
      </c>
      <c r="H66" s="103">
        <f>14.73</f>
        <v>14.73</v>
      </c>
      <c r="I66" s="103">
        <f>14.74</f>
        <v>14.74</v>
      </c>
      <c r="J66" s="103">
        <f>14.74</f>
        <v>14.74</v>
      </c>
      <c r="K66" s="103">
        <f>14.74</f>
        <v>14.74</v>
      </c>
      <c r="L66" s="103">
        <f>14.74</f>
        <v>14.74</v>
      </c>
      <c r="M66" s="103">
        <f>14.74</f>
        <v>14.74</v>
      </c>
      <c r="N66" s="100">
        <f>VLOOKUP(B66,'Форма КП'!$B$17:$G$22,5,FALSE)</f>
        <v>0</v>
      </c>
      <c r="O66" s="100">
        <f>N66*F66</f>
        <v>0</v>
      </c>
      <c r="P66" s="100"/>
      <c r="Q66" s="100"/>
      <c r="R66" s="100">
        <f>N66</f>
        <v>0</v>
      </c>
      <c r="S66" s="100">
        <f>N66*F66</f>
        <v>0</v>
      </c>
    </row>
    <row r="67" spans="1:19" ht="24" x14ac:dyDescent="0.25">
      <c r="A67" s="121">
        <v>47</v>
      </c>
      <c r="B67" s="116" t="s">
        <v>170</v>
      </c>
      <c r="C67" s="122" t="s">
        <v>171</v>
      </c>
      <c r="D67" s="125">
        <v>0.25</v>
      </c>
      <c r="E67" s="123" t="s">
        <v>132</v>
      </c>
      <c r="F67" s="124">
        <f t="shared" si="47"/>
        <v>25.82</v>
      </c>
      <c r="G67" s="87">
        <f>G66*D67</f>
        <v>3.69</v>
      </c>
      <c r="H67" s="87">
        <f>H66*D67</f>
        <v>3.68</v>
      </c>
      <c r="I67" s="87">
        <f>I66*D67</f>
        <v>3.69</v>
      </c>
      <c r="J67" s="87">
        <f>J66*D67</f>
        <v>3.69</v>
      </c>
      <c r="K67" s="87">
        <f>K66*D67</f>
        <v>3.69</v>
      </c>
      <c r="L67" s="87">
        <f>L66*D67</f>
        <v>3.69</v>
      </c>
      <c r="M67" s="87">
        <f>M66*D67</f>
        <v>3.69</v>
      </c>
      <c r="N67" s="29"/>
      <c r="O67" s="29"/>
      <c r="P67" s="49" t="str">
        <f>VLOOKUP(B67,'Форма КП'!$B$24:$G$35,5,FALSE)</f>
        <v>Материал заказчика</v>
      </c>
      <c r="Q67" s="50"/>
      <c r="R67" s="49" t="str">
        <f t="shared" ref="R67:R68" si="48">P67</f>
        <v>Материал заказчика</v>
      </c>
      <c r="S67" s="50"/>
    </row>
    <row r="68" spans="1:19" x14ac:dyDescent="0.25">
      <c r="A68" s="121">
        <v>48</v>
      </c>
      <c r="B68" s="116" t="s">
        <v>164</v>
      </c>
      <c r="C68" s="122" t="s">
        <v>131</v>
      </c>
      <c r="D68" s="125">
        <v>0.15</v>
      </c>
      <c r="E68" s="123" t="s">
        <v>132</v>
      </c>
      <c r="F68" s="124">
        <f t="shared" si="47"/>
        <v>15.47</v>
      </c>
      <c r="G68" s="87">
        <f>G66*D68</f>
        <v>2.21</v>
      </c>
      <c r="H68" s="87">
        <f>H66*D68</f>
        <v>2.21</v>
      </c>
      <c r="I68" s="87">
        <f>I66*D68</f>
        <v>2.21</v>
      </c>
      <c r="J68" s="87">
        <f>J66*D68</f>
        <v>2.21</v>
      </c>
      <c r="K68" s="87">
        <f>K66*D68</f>
        <v>2.21</v>
      </c>
      <c r="L68" s="87">
        <f>L66*D68</f>
        <v>2.21</v>
      </c>
      <c r="M68" s="87">
        <f>M66*D68</f>
        <v>2.21</v>
      </c>
      <c r="N68" s="29"/>
      <c r="O68" s="29"/>
      <c r="P68" s="85">
        <f>VLOOKUP(B68,'Форма КП'!$B$24:$G$35,5,FALSE)</f>
        <v>0</v>
      </c>
      <c r="Q68" s="85">
        <f t="shared" ref="Q68" si="49">P68*F68</f>
        <v>0</v>
      </c>
      <c r="R68" s="32">
        <f t="shared" si="48"/>
        <v>0</v>
      </c>
      <c r="S68" s="32">
        <f t="shared" ref="S68" si="50">P68*F68</f>
        <v>0</v>
      </c>
    </row>
    <row r="69" spans="1:19" ht="108" x14ac:dyDescent="0.25">
      <c r="A69" s="115">
        <v>49</v>
      </c>
      <c r="B69" s="116" t="s">
        <v>165</v>
      </c>
      <c r="C69" s="117" t="s">
        <v>187</v>
      </c>
      <c r="D69" s="118"/>
      <c r="E69" s="119" t="s">
        <v>130</v>
      </c>
      <c r="F69" s="120">
        <f t="shared" si="47"/>
        <v>267.73</v>
      </c>
      <c r="G69" s="101">
        <v>47.57</v>
      </c>
      <c r="H69" s="101">
        <v>34.22</v>
      </c>
      <c r="I69" s="101">
        <v>34.229999999999997</v>
      </c>
      <c r="J69" s="101">
        <v>41.62</v>
      </c>
      <c r="K69" s="101">
        <v>34.21</v>
      </c>
      <c r="L69" s="101">
        <v>41.67</v>
      </c>
      <c r="M69" s="101">
        <v>34.21</v>
      </c>
      <c r="N69" s="100">
        <f>VLOOKUP(B69,'Форма КП'!$B$17:$G$22,5,FALSE)</f>
        <v>0</v>
      </c>
      <c r="O69" s="100">
        <f>N69*F69</f>
        <v>0</v>
      </c>
      <c r="P69" s="100"/>
      <c r="Q69" s="100"/>
      <c r="R69" s="100">
        <f>N69</f>
        <v>0</v>
      </c>
      <c r="S69" s="100">
        <f>N69*F69</f>
        <v>0</v>
      </c>
    </row>
    <row r="70" spans="1:19" ht="24" x14ac:dyDescent="0.25">
      <c r="A70" s="121">
        <v>50</v>
      </c>
      <c r="B70" s="116" t="s">
        <v>168</v>
      </c>
      <c r="C70" s="122" t="s">
        <v>169</v>
      </c>
      <c r="D70" s="125">
        <v>0.25</v>
      </c>
      <c r="E70" s="123" t="s">
        <v>132</v>
      </c>
      <c r="F70" s="124">
        <f t="shared" si="47"/>
        <v>66.94</v>
      </c>
      <c r="G70" s="87">
        <f>G69*D70</f>
        <v>11.89</v>
      </c>
      <c r="H70" s="87">
        <f>H69*D70</f>
        <v>8.56</v>
      </c>
      <c r="I70" s="87">
        <f>I69*D70</f>
        <v>8.56</v>
      </c>
      <c r="J70" s="87">
        <f>J69*D70</f>
        <v>10.41</v>
      </c>
      <c r="K70" s="87">
        <f>K69*D70</f>
        <v>8.5500000000000007</v>
      </c>
      <c r="L70" s="87">
        <f>L69*D70</f>
        <v>10.42</v>
      </c>
      <c r="M70" s="87">
        <f>M69*D70</f>
        <v>8.5500000000000007</v>
      </c>
      <c r="N70" s="29"/>
      <c r="O70" s="29"/>
      <c r="P70" s="49" t="str">
        <f>VLOOKUP(B70,'Форма КП'!$B$24:$G$35,5,FALSE)</f>
        <v>Материал заказчика</v>
      </c>
      <c r="Q70" s="50"/>
      <c r="R70" s="49" t="str">
        <f t="shared" ref="R70:R71" si="51">P70</f>
        <v>Материал заказчика</v>
      </c>
      <c r="S70" s="50"/>
    </row>
    <row r="71" spans="1:19" x14ac:dyDescent="0.25">
      <c r="A71" s="121">
        <v>51</v>
      </c>
      <c r="B71" s="116" t="s">
        <v>164</v>
      </c>
      <c r="C71" s="122" t="s">
        <v>131</v>
      </c>
      <c r="D71" s="125">
        <v>0.15</v>
      </c>
      <c r="E71" s="123" t="s">
        <v>132</v>
      </c>
      <c r="F71" s="124">
        <f t="shared" si="47"/>
        <v>40.15</v>
      </c>
      <c r="G71" s="87">
        <f>G69*D71</f>
        <v>7.14</v>
      </c>
      <c r="H71" s="87">
        <f>H69*D71</f>
        <v>5.13</v>
      </c>
      <c r="I71" s="87">
        <f>I69*D71</f>
        <v>5.13</v>
      </c>
      <c r="J71" s="87">
        <f>J69*D71</f>
        <v>6.24</v>
      </c>
      <c r="K71" s="87">
        <f>K69*D71</f>
        <v>5.13</v>
      </c>
      <c r="L71" s="87">
        <f>L69*D71</f>
        <v>6.25</v>
      </c>
      <c r="M71" s="87">
        <f>M69*D71</f>
        <v>5.13</v>
      </c>
      <c r="N71" s="29"/>
      <c r="O71" s="29"/>
      <c r="P71" s="85">
        <f>VLOOKUP(B71,'Форма КП'!$B$24:$G$35,5,FALSE)</f>
        <v>0</v>
      </c>
      <c r="Q71" s="85">
        <f t="shared" ref="Q71" si="52">P71*F71</f>
        <v>0</v>
      </c>
      <c r="R71" s="32">
        <f t="shared" si="51"/>
        <v>0</v>
      </c>
      <c r="S71" s="32">
        <f t="shared" ref="S71" si="53">P71*F71</f>
        <v>0</v>
      </c>
    </row>
    <row r="72" spans="1:19" ht="144" x14ac:dyDescent="0.25">
      <c r="A72" s="115">
        <v>52</v>
      </c>
      <c r="B72" s="116" t="s">
        <v>178</v>
      </c>
      <c r="C72" s="117" t="s">
        <v>184</v>
      </c>
      <c r="D72" s="118"/>
      <c r="E72" s="119" t="s">
        <v>130</v>
      </c>
      <c r="F72" s="120">
        <f t="shared" si="47"/>
        <v>267.73</v>
      </c>
      <c r="G72" s="101">
        <f>47.57</f>
        <v>47.57</v>
      </c>
      <c r="H72" s="101">
        <f>34.22</f>
        <v>34.22</v>
      </c>
      <c r="I72" s="101">
        <f>34.23</f>
        <v>34.229999999999997</v>
      </c>
      <c r="J72" s="101">
        <f>41.62</f>
        <v>41.62</v>
      </c>
      <c r="K72" s="101">
        <f>34.21</f>
        <v>34.21</v>
      </c>
      <c r="L72" s="101">
        <f>41.67</f>
        <v>41.67</v>
      </c>
      <c r="M72" s="101">
        <f>34.21</f>
        <v>34.21</v>
      </c>
      <c r="N72" s="100">
        <f>VLOOKUP(B72,'Форма КП'!$B$17:$G$22,5,FALSE)</f>
        <v>0</v>
      </c>
      <c r="O72" s="100">
        <f>N72*F72</f>
        <v>0</v>
      </c>
      <c r="P72" s="100"/>
      <c r="Q72" s="100"/>
      <c r="R72" s="100">
        <f>N72</f>
        <v>0</v>
      </c>
      <c r="S72" s="100">
        <f>N72*F72</f>
        <v>0</v>
      </c>
    </row>
    <row r="73" spans="1:19" ht="24" x14ac:dyDescent="0.25">
      <c r="A73" s="121">
        <v>53</v>
      </c>
      <c r="B73" s="116" t="s">
        <v>179</v>
      </c>
      <c r="C73" s="122" t="s">
        <v>180</v>
      </c>
      <c r="D73" s="125">
        <v>1.03</v>
      </c>
      <c r="E73" s="123" t="s">
        <v>130</v>
      </c>
      <c r="F73" s="124">
        <f t="shared" si="47"/>
        <v>275.77999999999997</v>
      </c>
      <c r="G73" s="87">
        <f>G72*D73</f>
        <v>49</v>
      </c>
      <c r="H73" s="87">
        <f>H72*D73</f>
        <v>35.25</v>
      </c>
      <c r="I73" s="87">
        <f>I72*D73</f>
        <v>35.26</v>
      </c>
      <c r="J73" s="87">
        <f>J72*D73</f>
        <v>42.87</v>
      </c>
      <c r="K73" s="87">
        <f>K72*D73</f>
        <v>35.24</v>
      </c>
      <c r="L73" s="87">
        <f>L72*D73</f>
        <v>42.92</v>
      </c>
      <c r="M73" s="87">
        <f>M72*D73</f>
        <v>35.24</v>
      </c>
      <c r="N73" s="29"/>
      <c r="O73" s="29"/>
      <c r="P73" s="49" t="str">
        <f>VLOOKUP(B73,'Форма КП'!$B$24:$G$35,5,FALSE)</f>
        <v>Материал заказчика</v>
      </c>
      <c r="Q73" s="50"/>
      <c r="R73" s="49" t="str">
        <f t="shared" ref="R73" si="54">P73</f>
        <v>Материал заказчика</v>
      </c>
      <c r="S73" s="50"/>
    </row>
    <row r="74" spans="1:19" x14ac:dyDescent="0.25">
      <c r="A74" s="108" t="s">
        <v>137</v>
      </c>
      <c r="B74" s="109"/>
      <c r="C74" s="110"/>
      <c r="D74" s="111"/>
      <c r="E74" s="112"/>
      <c r="F74" s="113"/>
      <c r="G74" s="114"/>
      <c r="H74" s="114"/>
      <c r="I74" s="114"/>
      <c r="J74" s="114"/>
      <c r="K74" s="114"/>
      <c r="L74" s="114"/>
      <c r="M74" s="114"/>
      <c r="N74" s="33"/>
      <c r="O74" s="33"/>
      <c r="P74" s="33"/>
      <c r="Q74" s="33"/>
      <c r="R74" s="33"/>
      <c r="S74" s="31"/>
    </row>
    <row r="75" spans="1:19" ht="108" x14ac:dyDescent="0.25">
      <c r="A75" s="115">
        <v>54</v>
      </c>
      <c r="B75" s="116" t="s">
        <v>165</v>
      </c>
      <c r="C75" s="117" t="s">
        <v>187</v>
      </c>
      <c r="D75" s="118"/>
      <c r="E75" s="119" t="s">
        <v>130</v>
      </c>
      <c r="F75" s="120">
        <f t="shared" ref="F75:F82" si="55">SUM(G75:M75)</f>
        <v>103.17</v>
      </c>
      <c r="G75" s="103">
        <f>14.74</f>
        <v>14.74</v>
      </c>
      <c r="H75" s="103">
        <f>14.73</f>
        <v>14.73</v>
      </c>
      <c r="I75" s="103">
        <f>14.74</f>
        <v>14.74</v>
      </c>
      <c r="J75" s="103">
        <f>14.74</f>
        <v>14.74</v>
      </c>
      <c r="K75" s="103">
        <f>14.74</f>
        <v>14.74</v>
      </c>
      <c r="L75" s="103">
        <f>14.74</f>
        <v>14.74</v>
      </c>
      <c r="M75" s="103">
        <f>14.74</f>
        <v>14.74</v>
      </c>
      <c r="N75" s="100">
        <f>VLOOKUP(B75,'Форма КП'!$B$17:$G$22,5,FALSE)</f>
        <v>0</v>
      </c>
      <c r="O75" s="100">
        <f>N75*F75</f>
        <v>0</v>
      </c>
      <c r="P75" s="100"/>
      <c r="Q75" s="100"/>
      <c r="R75" s="100">
        <f>N75</f>
        <v>0</v>
      </c>
      <c r="S75" s="100">
        <f>N75*F75</f>
        <v>0</v>
      </c>
    </row>
    <row r="76" spans="1:19" ht="24" x14ac:dyDescent="0.25">
      <c r="A76" s="121">
        <v>55</v>
      </c>
      <c r="B76" s="116" t="s">
        <v>170</v>
      </c>
      <c r="C76" s="122" t="s">
        <v>171</v>
      </c>
      <c r="D76" s="125">
        <v>0.25</v>
      </c>
      <c r="E76" s="123" t="s">
        <v>132</v>
      </c>
      <c r="F76" s="124">
        <f t="shared" si="55"/>
        <v>25.82</v>
      </c>
      <c r="G76" s="87">
        <f>G75*D76</f>
        <v>3.69</v>
      </c>
      <c r="H76" s="87">
        <f>H75*D76</f>
        <v>3.68</v>
      </c>
      <c r="I76" s="87">
        <f>I75*D76</f>
        <v>3.69</v>
      </c>
      <c r="J76" s="87">
        <f>J75*D76</f>
        <v>3.69</v>
      </c>
      <c r="K76" s="87">
        <f>K75*D76</f>
        <v>3.69</v>
      </c>
      <c r="L76" s="87">
        <f>L75*D76</f>
        <v>3.69</v>
      </c>
      <c r="M76" s="87">
        <f>M75*D76</f>
        <v>3.69</v>
      </c>
      <c r="N76" s="29"/>
      <c r="O76" s="29"/>
      <c r="P76" s="49" t="str">
        <f>VLOOKUP(B76,'Форма КП'!$B$24:$G$35,5,FALSE)</f>
        <v>Материал заказчика</v>
      </c>
      <c r="Q76" s="50"/>
      <c r="R76" s="49" t="str">
        <f t="shared" ref="R76:R77" si="56">P76</f>
        <v>Материал заказчика</v>
      </c>
      <c r="S76" s="50"/>
    </row>
    <row r="77" spans="1:19" x14ac:dyDescent="0.25">
      <c r="A77" s="121">
        <v>56</v>
      </c>
      <c r="B77" s="116" t="s">
        <v>164</v>
      </c>
      <c r="C77" s="122" t="s">
        <v>131</v>
      </c>
      <c r="D77" s="125">
        <v>0.15</v>
      </c>
      <c r="E77" s="123" t="s">
        <v>132</v>
      </c>
      <c r="F77" s="124">
        <f t="shared" si="55"/>
        <v>15.47</v>
      </c>
      <c r="G77" s="87">
        <f>G75*D77</f>
        <v>2.21</v>
      </c>
      <c r="H77" s="87">
        <f>H75*D77</f>
        <v>2.21</v>
      </c>
      <c r="I77" s="87">
        <f>I75*D77</f>
        <v>2.21</v>
      </c>
      <c r="J77" s="87">
        <f>J75*D77</f>
        <v>2.21</v>
      </c>
      <c r="K77" s="87">
        <f>K75*D77</f>
        <v>2.21</v>
      </c>
      <c r="L77" s="87">
        <f>L75*D77</f>
        <v>2.21</v>
      </c>
      <c r="M77" s="87">
        <f>M75*D77</f>
        <v>2.21</v>
      </c>
      <c r="N77" s="29"/>
      <c r="O77" s="29"/>
      <c r="P77" s="85">
        <f>VLOOKUP(B77,'Форма КП'!$B$24:$G$35,5,FALSE)</f>
        <v>0</v>
      </c>
      <c r="Q77" s="85">
        <f t="shared" ref="Q77" si="57">P77*F77</f>
        <v>0</v>
      </c>
      <c r="R77" s="32">
        <f t="shared" si="56"/>
        <v>0</v>
      </c>
      <c r="S77" s="32">
        <f t="shared" ref="S77" si="58">P77*F77</f>
        <v>0</v>
      </c>
    </row>
    <row r="78" spans="1:19" ht="108" x14ac:dyDescent="0.25">
      <c r="A78" s="115">
        <v>57</v>
      </c>
      <c r="B78" s="116" t="s">
        <v>165</v>
      </c>
      <c r="C78" s="117" t="s">
        <v>187</v>
      </c>
      <c r="D78" s="118"/>
      <c r="E78" s="119" t="s">
        <v>130</v>
      </c>
      <c r="F78" s="120">
        <f t="shared" si="55"/>
        <v>267.73</v>
      </c>
      <c r="G78" s="101">
        <v>47.57</v>
      </c>
      <c r="H78" s="101">
        <v>34.22</v>
      </c>
      <c r="I78" s="101">
        <v>34.229999999999997</v>
      </c>
      <c r="J78" s="101">
        <v>41.62</v>
      </c>
      <c r="K78" s="101">
        <v>34.21</v>
      </c>
      <c r="L78" s="101">
        <v>41.67</v>
      </c>
      <c r="M78" s="101">
        <v>34.21</v>
      </c>
      <c r="N78" s="100">
        <f>VLOOKUP(B78,'Форма КП'!$B$17:$G$22,5,FALSE)</f>
        <v>0</v>
      </c>
      <c r="O78" s="100">
        <f>N78*F78</f>
        <v>0</v>
      </c>
      <c r="P78" s="100"/>
      <c r="Q78" s="100"/>
      <c r="R78" s="100">
        <f>N78</f>
        <v>0</v>
      </c>
      <c r="S78" s="100">
        <f>N78*F78</f>
        <v>0</v>
      </c>
    </row>
    <row r="79" spans="1:19" ht="24" x14ac:dyDescent="0.25">
      <c r="A79" s="121">
        <v>58</v>
      </c>
      <c r="B79" s="116" t="s">
        <v>168</v>
      </c>
      <c r="C79" s="122" t="s">
        <v>169</v>
      </c>
      <c r="D79" s="125">
        <v>0.25</v>
      </c>
      <c r="E79" s="123" t="s">
        <v>132</v>
      </c>
      <c r="F79" s="124">
        <f t="shared" si="55"/>
        <v>66.94</v>
      </c>
      <c r="G79" s="87">
        <f>G78*D79</f>
        <v>11.89</v>
      </c>
      <c r="H79" s="87">
        <f>H78*D79</f>
        <v>8.56</v>
      </c>
      <c r="I79" s="87">
        <f>I78*D79</f>
        <v>8.56</v>
      </c>
      <c r="J79" s="87">
        <f>J78*D79</f>
        <v>10.41</v>
      </c>
      <c r="K79" s="87">
        <f>K78*D79</f>
        <v>8.5500000000000007</v>
      </c>
      <c r="L79" s="87">
        <f>L78*D79</f>
        <v>10.42</v>
      </c>
      <c r="M79" s="87">
        <f>M78*D79</f>
        <v>8.5500000000000007</v>
      </c>
      <c r="N79" s="29"/>
      <c r="O79" s="29"/>
      <c r="P79" s="49" t="str">
        <f>VLOOKUP(B79,'Форма КП'!$B$24:$G$35,5,FALSE)</f>
        <v>Материал заказчика</v>
      </c>
      <c r="Q79" s="50"/>
      <c r="R79" s="49" t="str">
        <f t="shared" ref="R79:R80" si="59">P79</f>
        <v>Материал заказчика</v>
      </c>
      <c r="S79" s="50"/>
    </row>
    <row r="80" spans="1:19" x14ac:dyDescent="0.25">
      <c r="A80" s="121">
        <v>59</v>
      </c>
      <c r="B80" s="116" t="s">
        <v>164</v>
      </c>
      <c r="C80" s="122" t="s">
        <v>131</v>
      </c>
      <c r="D80" s="125">
        <v>0.15</v>
      </c>
      <c r="E80" s="123" t="s">
        <v>132</v>
      </c>
      <c r="F80" s="124">
        <f t="shared" si="55"/>
        <v>40.15</v>
      </c>
      <c r="G80" s="87">
        <f>G78*D80</f>
        <v>7.14</v>
      </c>
      <c r="H80" s="87">
        <f>H78*D80</f>
        <v>5.13</v>
      </c>
      <c r="I80" s="87">
        <f>I78*D80</f>
        <v>5.13</v>
      </c>
      <c r="J80" s="87">
        <f>J78*D80</f>
        <v>6.24</v>
      </c>
      <c r="K80" s="87">
        <f>K78*D80</f>
        <v>5.13</v>
      </c>
      <c r="L80" s="87">
        <f>L78*D80</f>
        <v>6.25</v>
      </c>
      <c r="M80" s="87">
        <f>M78*D80</f>
        <v>5.13</v>
      </c>
      <c r="N80" s="29"/>
      <c r="O80" s="29"/>
      <c r="P80" s="85">
        <f>VLOOKUP(B80,'Форма КП'!$B$24:$G$35,5,FALSE)</f>
        <v>0</v>
      </c>
      <c r="Q80" s="85">
        <f t="shared" ref="Q80" si="60">P80*F80</f>
        <v>0</v>
      </c>
      <c r="R80" s="32">
        <f t="shared" si="59"/>
        <v>0</v>
      </c>
      <c r="S80" s="32">
        <f t="shared" ref="S80" si="61">P80*F80</f>
        <v>0</v>
      </c>
    </row>
    <row r="81" spans="1:19" ht="144" x14ac:dyDescent="0.25">
      <c r="A81" s="115">
        <v>60</v>
      </c>
      <c r="B81" s="116" t="s">
        <v>178</v>
      </c>
      <c r="C81" s="117" t="s">
        <v>184</v>
      </c>
      <c r="D81" s="118"/>
      <c r="E81" s="119" t="s">
        <v>130</v>
      </c>
      <c r="F81" s="120">
        <f t="shared" si="55"/>
        <v>267.73</v>
      </c>
      <c r="G81" s="101">
        <f>47.57</f>
        <v>47.57</v>
      </c>
      <c r="H81" s="101">
        <f>34.22</f>
        <v>34.22</v>
      </c>
      <c r="I81" s="101">
        <f>34.23</f>
        <v>34.229999999999997</v>
      </c>
      <c r="J81" s="101">
        <f>41.62</f>
        <v>41.62</v>
      </c>
      <c r="K81" s="101">
        <f>34.21</f>
        <v>34.21</v>
      </c>
      <c r="L81" s="101">
        <f>41.67</f>
        <v>41.67</v>
      </c>
      <c r="M81" s="101">
        <f>34.21</f>
        <v>34.21</v>
      </c>
      <c r="N81" s="100">
        <f>VLOOKUP(B81,'Форма КП'!$B$17:$G$22,5,FALSE)</f>
        <v>0</v>
      </c>
      <c r="O81" s="100">
        <f>N81*F81</f>
        <v>0</v>
      </c>
      <c r="P81" s="100"/>
      <c r="Q81" s="100"/>
      <c r="R81" s="100">
        <f>N81</f>
        <v>0</v>
      </c>
      <c r="S81" s="100">
        <f>N81*F81</f>
        <v>0</v>
      </c>
    </row>
    <row r="82" spans="1:19" ht="24" x14ac:dyDescent="0.25">
      <c r="A82" s="121">
        <v>61</v>
      </c>
      <c r="B82" s="116" t="s">
        <v>179</v>
      </c>
      <c r="C82" s="122" t="s">
        <v>180</v>
      </c>
      <c r="D82" s="125">
        <v>1.03</v>
      </c>
      <c r="E82" s="123" t="s">
        <v>130</v>
      </c>
      <c r="F82" s="124">
        <f t="shared" si="55"/>
        <v>275.77999999999997</v>
      </c>
      <c r="G82" s="87">
        <f>G81*D82</f>
        <v>49</v>
      </c>
      <c r="H82" s="87">
        <f>H81*D82</f>
        <v>35.25</v>
      </c>
      <c r="I82" s="87">
        <f>I81*D82</f>
        <v>35.26</v>
      </c>
      <c r="J82" s="87">
        <f>J81*D82</f>
        <v>42.87</v>
      </c>
      <c r="K82" s="87">
        <f>K81*D82</f>
        <v>35.24</v>
      </c>
      <c r="L82" s="87">
        <f>L81*D82</f>
        <v>42.92</v>
      </c>
      <c r="M82" s="87">
        <f>M81*D82</f>
        <v>35.24</v>
      </c>
      <c r="N82" s="29"/>
      <c r="O82" s="29"/>
      <c r="P82" s="49" t="str">
        <f>VLOOKUP(B82,'Форма КП'!$B$24:$G$35,5,FALSE)</f>
        <v>Материал заказчика</v>
      </c>
      <c r="Q82" s="50"/>
      <c r="R82" s="49" t="str">
        <f t="shared" ref="R82" si="62">P82</f>
        <v>Материал заказчика</v>
      </c>
      <c r="S82" s="50"/>
    </row>
    <row r="83" spans="1:19" x14ac:dyDescent="0.25">
      <c r="A83" s="108" t="s">
        <v>138</v>
      </c>
      <c r="B83" s="109"/>
      <c r="C83" s="110"/>
      <c r="D83" s="111"/>
      <c r="E83" s="112"/>
      <c r="F83" s="113"/>
      <c r="G83" s="114"/>
      <c r="H83" s="114"/>
      <c r="I83" s="114"/>
      <c r="J83" s="114"/>
      <c r="K83" s="114"/>
      <c r="L83" s="114"/>
      <c r="M83" s="114"/>
      <c r="N83" s="33"/>
      <c r="O83" s="33"/>
      <c r="P83" s="33"/>
      <c r="Q83" s="33"/>
      <c r="R83" s="33"/>
      <c r="S83" s="31"/>
    </row>
    <row r="84" spans="1:19" ht="108" x14ac:dyDescent="0.25">
      <c r="A84" s="115">
        <v>62</v>
      </c>
      <c r="B84" s="116" t="s">
        <v>165</v>
      </c>
      <c r="C84" s="117" t="s">
        <v>187</v>
      </c>
      <c r="D84" s="118"/>
      <c r="E84" s="119" t="s">
        <v>130</v>
      </c>
      <c r="F84" s="120">
        <f t="shared" ref="F84:F91" si="63">SUM(G84:M84)</f>
        <v>103.17</v>
      </c>
      <c r="G84" s="103">
        <f>14.74</f>
        <v>14.74</v>
      </c>
      <c r="H84" s="103">
        <f>14.73</f>
        <v>14.73</v>
      </c>
      <c r="I84" s="103">
        <f>14.74</f>
        <v>14.74</v>
      </c>
      <c r="J84" s="103">
        <f>14.74</f>
        <v>14.74</v>
      </c>
      <c r="K84" s="103">
        <f>14.74</f>
        <v>14.74</v>
      </c>
      <c r="L84" s="103">
        <f>14.74</f>
        <v>14.74</v>
      </c>
      <c r="M84" s="103">
        <f>14.74</f>
        <v>14.74</v>
      </c>
      <c r="N84" s="100">
        <f>VLOOKUP(B84,'Форма КП'!$B$17:$G$22,5,FALSE)</f>
        <v>0</v>
      </c>
      <c r="O84" s="100">
        <f>N84*F84</f>
        <v>0</v>
      </c>
      <c r="P84" s="100"/>
      <c r="Q84" s="100"/>
      <c r="R84" s="100">
        <f>N84</f>
        <v>0</v>
      </c>
      <c r="S84" s="100">
        <f>N84*F84</f>
        <v>0</v>
      </c>
    </row>
    <row r="85" spans="1:19" ht="24" x14ac:dyDescent="0.25">
      <c r="A85" s="121">
        <v>63</v>
      </c>
      <c r="B85" s="116" t="s">
        <v>170</v>
      </c>
      <c r="C85" s="122" t="s">
        <v>171</v>
      </c>
      <c r="D85" s="125">
        <v>0.25</v>
      </c>
      <c r="E85" s="123" t="s">
        <v>132</v>
      </c>
      <c r="F85" s="124">
        <f t="shared" si="63"/>
        <v>25.82</v>
      </c>
      <c r="G85" s="87">
        <f>G84*D85</f>
        <v>3.69</v>
      </c>
      <c r="H85" s="87">
        <f>H84*D85</f>
        <v>3.68</v>
      </c>
      <c r="I85" s="87">
        <f>I84*D85</f>
        <v>3.69</v>
      </c>
      <c r="J85" s="87">
        <f>J84*D85</f>
        <v>3.69</v>
      </c>
      <c r="K85" s="87">
        <f>K84*D85</f>
        <v>3.69</v>
      </c>
      <c r="L85" s="87">
        <f>L84*D85</f>
        <v>3.69</v>
      </c>
      <c r="M85" s="87">
        <f>M84*D85</f>
        <v>3.69</v>
      </c>
      <c r="N85" s="29"/>
      <c r="O85" s="29"/>
      <c r="P85" s="49" t="str">
        <f>VLOOKUP(B85,'Форма КП'!$B$24:$G$35,5,FALSE)</f>
        <v>Материал заказчика</v>
      </c>
      <c r="Q85" s="50"/>
      <c r="R85" s="49" t="str">
        <f t="shared" ref="R85:R86" si="64">P85</f>
        <v>Материал заказчика</v>
      </c>
      <c r="S85" s="50"/>
    </row>
    <row r="86" spans="1:19" x14ac:dyDescent="0.25">
      <c r="A86" s="121">
        <v>64</v>
      </c>
      <c r="B86" s="116" t="s">
        <v>164</v>
      </c>
      <c r="C86" s="122" t="s">
        <v>131</v>
      </c>
      <c r="D86" s="125">
        <v>0.15</v>
      </c>
      <c r="E86" s="123" t="s">
        <v>132</v>
      </c>
      <c r="F86" s="124">
        <f t="shared" si="63"/>
        <v>15.47</v>
      </c>
      <c r="G86" s="87">
        <f>G84*D86</f>
        <v>2.21</v>
      </c>
      <c r="H86" s="87">
        <f>H84*D86</f>
        <v>2.21</v>
      </c>
      <c r="I86" s="87">
        <f>I84*D86</f>
        <v>2.21</v>
      </c>
      <c r="J86" s="87">
        <f>J84*D86</f>
        <v>2.21</v>
      </c>
      <c r="K86" s="87">
        <f>K84*D86</f>
        <v>2.21</v>
      </c>
      <c r="L86" s="87">
        <f>L84*D86</f>
        <v>2.21</v>
      </c>
      <c r="M86" s="87">
        <f>M84*D86</f>
        <v>2.21</v>
      </c>
      <c r="N86" s="29"/>
      <c r="O86" s="29"/>
      <c r="P86" s="85">
        <f>VLOOKUP(B86,'Форма КП'!$B$24:$G$35,5,FALSE)</f>
        <v>0</v>
      </c>
      <c r="Q86" s="85">
        <f t="shared" ref="Q86" si="65">P86*F86</f>
        <v>0</v>
      </c>
      <c r="R86" s="32">
        <f t="shared" si="64"/>
        <v>0</v>
      </c>
      <c r="S86" s="32">
        <f t="shared" ref="S86" si="66">P86*F86</f>
        <v>0</v>
      </c>
    </row>
    <row r="87" spans="1:19" ht="108" x14ac:dyDescent="0.25">
      <c r="A87" s="115">
        <v>65</v>
      </c>
      <c r="B87" s="116" t="s">
        <v>165</v>
      </c>
      <c r="C87" s="117" t="s">
        <v>187</v>
      </c>
      <c r="D87" s="118"/>
      <c r="E87" s="119" t="s">
        <v>130</v>
      </c>
      <c r="F87" s="120">
        <f t="shared" si="63"/>
        <v>267.73</v>
      </c>
      <c r="G87" s="101">
        <v>47.57</v>
      </c>
      <c r="H87" s="101">
        <v>34.22</v>
      </c>
      <c r="I87" s="101">
        <v>34.229999999999997</v>
      </c>
      <c r="J87" s="101">
        <v>41.62</v>
      </c>
      <c r="K87" s="101">
        <v>34.21</v>
      </c>
      <c r="L87" s="101">
        <v>41.67</v>
      </c>
      <c r="M87" s="101">
        <v>34.21</v>
      </c>
      <c r="N87" s="100">
        <f>VLOOKUP(B87,'Форма КП'!$B$17:$G$22,5,FALSE)</f>
        <v>0</v>
      </c>
      <c r="O87" s="100">
        <f>N87*F87</f>
        <v>0</v>
      </c>
      <c r="P87" s="100"/>
      <c r="Q87" s="100"/>
      <c r="R87" s="100">
        <f>N87</f>
        <v>0</v>
      </c>
      <c r="S87" s="100">
        <f>N87*F87</f>
        <v>0</v>
      </c>
    </row>
    <row r="88" spans="1:19" ht="24" x14ac:dyDescent="0.25">
      <c r="A88" s="121">
        <v>66</v>
      </c>
      <c r="B88" s="116" t="s">
        <v>168</v>
      </c>
      <c r="C88" s="122" t="s">
        <v>169</v>
      </c>
      <c r="D88" s="125">
        <v>0.25</v>
      </c>
      <c r="E88" s="123" t="s">
        <v>132</v>
      </c>
      <c r="F88" s="124">
        <f t="shared" si="63"/>
        <v>66.94</v>
      </c>
      <c r="G88" s="87">
        <f>G87*D88</f>
        <v>11.89</v>
      </c>
      <c r="H88" s="87">
        <f>H87*D88</f>
        <v>8.56</v>
      </c>
      <c r="I88" s="87">
        <f>I87*D88</f>
        <v>8.56</v>
      </c>
      <c r="J88" s="87">
        <f>J87*D88</f>
        <v>10.41</v>
      </c>
      <c r="K88" s="87">
        <f>K87*D88</f>
        <v>8.5500000000000007</v>
      </c>
      <c r="L88" s="87">
        <f>L87*D88</f>
        <v>10.42</v>
      </c>
      <c r="M88" s="87">
        <f>M87*D88</f>
        <v>8.5500000000000007</v>
      </c>
      <c r="N88" s="29"/>
      <c r="O88" s="29"/>
      <c r="P88" s="49" t="str">
        <f>VLOOKUP(B88,'Форма КП'!$B$24:$G$35,5,FALSE)</f>
        <v>Материал заказчика</v>
      </c>
      <c r="Q88" s="50"/>
      <c r="R88" s="49" t="str">
        <f t="shared" ref="R88:R89" si="67">P88</f>
        <v>Материал заказчика</v>
      </c>
      <c r="S88" s="50"/>
    </row>
    <row r="89" spans="1:19" x14ac:dyDescent="0.25">
      <c r="A89" s="121">
        <v>67</v>
      </c>
      <c r="B89" s="116" t="s">
        <v>164</v>
      </c>
      <c r="C89" s="122" t="s">
        <v>131</v>
      </c>
      <c r="D89" s="125">
        <v>0.15</v>
      </c>
      <c r="E89" s="123" t="s">
        <v>132</v>
      </c>
      <c r="F89" s="124">
        <f t="shared" si="63"/>
        <v>40.15</v>
      </c>
      <c r="G89" s="87">
        <f>G87*D89</f>
        <v>7.14</v>
      </c>
      <c r="H89" s="87">
        <f>H87*D89</f>
        <v>5.13</v>
      </c>
      <c r="I89" s="87">
        <f>I87*D89</f>
        <v>5.13</v>
      </c>
      <c r="J89" s="87">
        <f>J87*D89</f>
        <v>6.24</v>
      </c>
      <c r="K89" s="87">
        <f>K87*D89</f>
        <v>5.13</v>
      </c>
      <c r="L89" s="87">
        <f>L87*D89</f>
        <v>6.25</v>
      </c>
      <c r="M89" s="87">
        <f>M87*D89</f>
        <v>5.13</v>
      </c>
      <c r="N89" s="29"/>
      <c r="O89" s="29"/>
      <c r="P89" s="85">
        <f>VLOOKUP(B89,'Форма КП'!$B$24:$G$35,5,FALSE)</f>
        <v>0</v>
      </c>
      <c r="Q89" s="85">
        <f t="shared" ref="Q89" si="68">P89*F89</f>
        <v>0</v>
      </c>
      <c r="R89" s="32">
        <f t="shared" si="67"/>
        <v>0</v>
      </c>
      <c r="S89" s="32">
        <f t="shared" ref="S89" si="69">P89*F89</f>
        <v>0</v>
      </c>
    </row>
    <row r="90" spans="1:19" ht="144" x14ac:dyDescent="0.25">
      <c r="A90" s="115">
        <v>68</v>
      </c>
      <c r="B90" s="116" t="s">
        <v>178</v>
      </c>
      <c r="C90" s="117" t="s">
        <v>184</v>
      </c>
      <c r="D90" s="118"/>
      <c r="E90" s="119" t="s">
        <v>130</v>
      </c>
      <c r="F90" s="120">
        <f t="shared" si="63"/>
        <v>267.73</v>
      </c>
      <c r="G90" s="101">
        <f>47.57</f>
        <v>47.57</v>
      </c>
      <c r="H90" s="101">
        <f>34.22</f>
        <v>34.22</v>
      </c>
      <c r="I90" s="101">
        <f>34.23</f>
        <v>34.229999999999997</v>
      </c>
      <c r="J90" s="101">
        <f>41.62</f>
        <v>41.62</v>
      </c>
      <c r="K90" s="101">
        <f>34.21</f>
        <v>34.21</v>
      </c>
      <c r="L90" s="101">
        <f>41.67</f>
        <v>41.67</v>
      </c>
      <c r="M90" s="101">
        <f>34.21</f>
        <v>34.21</v>
      </c>
      <c r="N90" s="100">
        <f>VLOOKUP(B90,'Форма КП'!$B$17:$G$22,5,FALSE)</f>
        <v>0</v>
      </c>
      <c r="O90" s="100">
        <f>N90*F90</f>
        <v>0</v>
      </c>
      <c r="P90" s="100"/>
      <c r="Q90" s="100"/>
      <c r="R90" s="100">
        <f>N90</f>
        <v>0</v>
      </c>
      <c r="S90" s="100">
        <f>N90*F90</f>
        <v>0</v>
      </c>
    </row>
    <row r="91" spans="1:19" ht="24" x14ac:dyDescent="0.25">
      <c r="A91" s="121">
        <v>69</v>
      </c>
      <c r="B91" s="116" t="s">
        <v>179</v>
      </c>
      <c r="C91" s="122" t="s">
        <v>180</v>
      </c>
      <c r="D91" s="125">
        <v>1.03</v>
      </c>
      <c r="E91" s="123" t="s">
        <v>130</v>
      </c>
      <c r="F91" s="124">
        <f t="shared" si="63"/>
        <v>275.77999999999997</v>
      </c>
      <c r="G91" s="87">
        <f>G90*D91</f>
        <v>49</v>
      </c>
      <c r="H91" s="87">
        <f>H90*D91</f>
        <v>35.25</v>
      </c>
      <c r="I91" s="87">
        <f>I90*D91</f>
        <v>35.26</v>
      </c>
      <c r="J91" s="87">
        <f>J90*D91</f>
        <v>42.87</v>
      </c>
      <c r="K91" s="87">
        <f>K90*D91</f>
        <v>35.24</v>
      </c>
      <c r="L91" s="87">
        <f>L90*D91</f>
        <v>42.92</v>
      </c>
      <c r="M91" s="87">
        <f>M90*D91</f>
        <v>35.24</v>
      </c>
      <c r="N91" s="29"/>
      <c r="O91" s="29"/>
      <c r="P91" s="49" t="str">
        <f>VLOOKUP(B91,'Форма КП'!$B$24:$G$35,5,FALSE)</f>
        <v>Материал заказчика</v>
      </c>
      <c r="Q91" s="50"/>
      <c r="R91" s="49" t="str">
        <f t="shared" ref="R91" si="70">P91</f>
        <v>Материал заказчика</v>
      </c>
      <c r="S91" s="50"/>
    </row>
    <row r="92" spans="1:19" x14ac:dyDescent="0.25">
      <c r="A92" s="108" t="s">
        <v>139</v>
      </c>
      <c r="B92" s="109"/>
      <c r="C92" s="110"/>
      <c r="D92" s="111"/>
      <c r="E92" s="112"/>
      <c r="F92" s="113"/>
      <c r="G92" s="114"/>
      <c r="H92" s="114"/>
      <c r="I92" s="114"/>
      <c r="J92" s="114"/>
      <c r="K92" s="114"/>
      <c r="L92" s="114"/>
      <c r="M92" s="114"/>
      <c r="N92" s="33"/>
      <c r="O92" s="33"/>
      <c r="P92" s="33"/>
      <c r="Q92" s="33"/>
      <c r="R92" s="33"/>
      <c r="S92" s="31"/>
    </row>
    <row r="93" spans="1:19" ht="108" x14ac:dyDescent="0.25">
      <c r="A93" s="115">
        <v>70</v>
      </c>
      <c r="B93" s="116" t="s">
        <v>165</v>
      </c>
      <c r="C93" s="117" t="s">
        <v>187</v>
      </c>
      <c r="D93" s="118"/>
      <c r="E93" s="119" t="s">
        <v>130</v>
      </c>
      <c r="F93" s="120">
        <f t="shared" ref="F93:F100" si="71">SUM(G93:M93)</f>
        <v>103.17</v>
      </c>
      <c r="G93" s="103">
        <f>14.74</f>
        <v>14.74</v>
      </c>
      <c r="H93" s="103">
        <f>14.73</f>
        <v>14.73</v>
      </c>
      <c r="I93" s="103">
        <f>14.74</f>
        <v>14.74</v>
      </c>
      <c r="J93" s="103">
        <f>14.74</f>
        <v>14.74</v>
      </c>
      <c r="K93" s="103">
        <f>14.74</f>
        <v>14.74</v>
      </c>
      <c r="L93" s="103">
        <f>14.74</f>
        <v>14.74</v>
      </c>
      <c r="M93" s="103">
        <f>14.74</f>
        <v>14.74</v>
      </c>
      <c r="N93" s="100">
        <f>VLOOKUP(B93,'Форма КП'!$B$17:$G$22,5,FALSE)</f>
        <v>0</v>
      </c>
      <c r="O93" s="100">
        <f>N93*F93</f>
        <v>0</v>
      </c>
      <c r="P93" s="100"/>
      <c r="Q93" s="100"/>
      <c r="R93" s="100">
        <f>N93</f>
        <v>0</v>
      </c>
      <c r="S93" s="100">
        <f>N93*F93</f>
        <v>0</v>
      </c>
    </row>
    <row r="94" spans="1:19" ht="24" x14ac:dyDescent="0.25">
      <c r="A94" s="121">
        <v>71</v>
      </c>
      <c r="B94" s="116" t="s">
        <v>170</v>
      </c>
      <c r="C94" s="122" t="s">
        <v>171</v>
      </c>
      <c r="D94" s="125">
        <v>0.25</v>
      </c>
      <c r="E94" s="123" t="s">
        <v>132</v>
      </c>
      <c r="F94" s="124">
        <f t="shared" si="71"/>
        <v>25.82</v>
      </c>
      <c r="G94" s="87">
        <f>G93*D94</f>
        <v>3.69</v>
      </c>
      <c r="H94" s="87">
        <f>H93*D94</f>
        <v>3.68</v>
      </c>
      <c r="I94" s="87">
        <f>I93*D94</f>
        <v>3.69</v>
      </c>
      <c r="J94" s="87">
        <f>J93*D94</f>
        <v>3.69</v>
      </c>
      <c r="K94" s="87">
        <f>K93*D94</f>
        <v>3.69</v>
      </c>
      <c r="L94" s="87">
        <f>L93*D94</f>
        <v>3.69</v>
      </c>
      <c r="M94" s="87">
        <f>M93*D94</f>
        <v>3.69</v>
      </c>
      <c r="N94" s="29"/>
      <c r="O94" s="29"/>
      <c r="P94" s="49" t="str">
        <f>VLOOKUP(B94,'Форма КП'!$B$24:$G$35,5,FALSE)</f>
        <v>Материал заказчика</v>
      </c>
      <c r="Q94" s="50"/>
      <c r="R94" s="49" t="str">
        <f t="shared" ref="R94:R95" si="72">P94</f>
        <v>Материал заказчика</v>
      </c>
      <c r="S94" s="50"/>
    </row>
    <row r="95" spans="1:19" x14ac:dyDescent="0.25">
      <c r="A95" s="121">
        <v>72</v>
      </c>
      <c r="B95" s="116" t="s">
        <v>164</v>
      </c>
      <c r="C95" s="122" t="s">
        <v>131</v>
      </c>
      <c r="D95" s="125">
        <v>0.15</v>
      </c>
      <c r="E95" s="123" t="s">
        <v>132</v>
      </c>
      <c r="F95" s="124">
        <f t="shared" si="71"/>
        <v>15.47</v>
      </c>
      <c r="G95" s="87">
        <f>G93*D95</f>
        <v>2.21</v>
      </c>
      <c r="H95" s="87">
        <f>H93*D95</f>
        <v>2.21</v>
      </c>
      <c r="I95" s="87">
        <f>I93*D95</f>
        <v>2.21</v>
      </c>
      <c r="J95" s="87">
        <f>J93*D95</f>
        <v>2.21</v>
      </c>
      <c r="K95" s="87">
        <f>K93*D95</f>
        <v>2.21</v>
      </c>
      <c r="L95" s="87">
        <f>L93*D95</f>
        <v>2.21</v>
      </c>
      <c r="M95" s="87">
        <f>M93*D95</f>
        <v>2.21</v>
      </c>
      <c r="N95" s="29"/>
      <c r="O95" s="29"/>
      <c r="P95" s="85">
        <f>VLOOKUP(B95,'Форма КП'!$B$24:$G$35,5,FALSE)</f>
        <v>0</v>
      </c>
      <c r="Q95" s="85">
        <f t="shared" ref="Q95" si="73">P95*F95</f>
        <v>0</v>
      </c>
      <c r="R95" s="32">
        <f t="shared" si="72"/>
        <v>0</v>
      </c>
      <c r="S95" s="32">
        <f t="shared" ref="S95" si="74">P95*F95</f>
        <v>0</v>
      </c>
    </row>
    <row r="96" spans="1:19" ht="108" x14ac:dyDescent="0.25">
      <c r="A96" s="115">
        <v>73</v>
      </c>
      <c r="B96" s="116" t="s">
        <v>165</v>
      </c>
      <c r="C96" s="117" t="s">
        <v>187</v>
      </c>
      <c r="D96" s="118"/>
      <c r="E96" s="119" t="s">
        <v>130</v>
      </c>
      <c r="F96" s="120">
        <f t="shared" si="71"/>
        <v>267.73</v>
      </c>
      <c r="G96" s="101">
        <v>47.57</v>
      </c>
      <c r="H96" s="101">
        <v>34.22</v>
      </c>
      <c r="I96" s="101">
        <v>34.229999999999997</v>
      </c>
      <c r="J96" s="101">
        <v>41.62</v>
      </c>
      <c r="K96" s="101">
        <v>34.21</v>
      </c>
      <c r="L96" s="101">
        <v>41.67</v>
      </c>
      <c r="M96" s="101">
        <v>34.21</v>
      </c>
      <c r="N96" s="100">
        <f>VLOOKUP(B96,'Форма КП'!$B$17:$G$22,5,FALSE)</f>
        <v>0</v>
      </c>
      <c r="O96" s="100">
        <f>N96*F96</f>
        <v>0</v>
      </c>
      <c r="P96" s="100"/>
      <c r="Q96" s="100"/>
      <c r="R96" s="100">
        <f>N96</f>
        <v>0</v>
      </c>
      <c r="S96" s="100">
        <f>N96*F96</f>
        <v>0</v>
      </c>
    </row>
    <row r="97" spans="1:19" ht="24" x14ac:dyDescent="0.25">
      <c r="A97" s="121">
        <v>74</v>
      </c>
      <c r="B97" s="116" t="s">
        <v>168</v>
      </c>
      <c r="C97" s="122" t="s">
        <v>169</v>
      </c>
      <c r="D97" s="125">
        <v>0.25</v>
      </c>
      <c r="E97" s="123" t="s">
        <v>132</v>
      </c>
      <c r="F97" s="124">
        <f t="shared" si="71"/>
        <v>66.94</v>
      </c>
      <c r="G97" s="87">
        <f>G96*D97</f>
        <v>11.89</v>
      </c>
      <c r="H97" s="87">
        <f>H96*D97</f>
        <v>8.56</v>
      </c>
      <c r="I97" s="87">
        <f>I96*D97</f>
        <v>8.56</v>
      </c>
      <c r="J97" s="87">
        <f>J96*D97</f>
        <v>10.41</v>
      </c>
      <c r="K97" s="87">
        <f>K96*D97</f>
        <v>8.5500000000000007</v>
      </c>
      <c r="L97" s="87">
        <f>L96*D97</f>
        <v>10.42</v>
      </c>
      <c r="M97" s="87">
        <f>M96*D97</f>
        <v>8.5500000000000007</v>
      </c>
      <c r="N97" s="29"/>
      <c r="O97" s="29"/>
      <c r="P97" s="49" t="str">
        <f>VLOOKUP(B97,'Форма КП'!$B$24:$G$35,5,FALSE)</f>
        <v>Материал заказчика</v>
      </c>
      <c r="Q97" s="50"/>
      <c r="R97" s="49" t="str">
        <f t="shared" ref="R97:R98" si="75">P97</f>
        <v>Материал заказчика</v>
      </c>
      <c r="S97" s="50"/>
    </row>
    <row r="98" spans="1:19" x14ac:dyDescent="0.25">
      <c r="A98" s="121">
        <v>75</v>
      </c>
      <c r="B98" s="116" t="s">
        <v>164</v>
      </c>
      <c r="C98" s="122" t="s">
        <v>131</v>
      </c>
      <c r="D98" s="125">
        <v>0.15</v>
      </c>
      <c r="E98" s="123" t="s">
        <v>132</v>
      </c>
      <c r="F98" s="124">
        <f t="shared" si="71"/>
        <v>40.15</v>
      </c>
      <c r="G98" s="87">
        <f>G96*D98</f>
        <v>7.14</v>
      </c>
      <c r="H98" s="87">
        <f>H96*D98</f>
        <v>5.13</v>
      </c>
      <c r="I98" s="87">
        <f>I96*D98</f>
        <v>5.13</v>
      </c>
      <c r="J98" s="87">
        <f>J96*D98</f>
        <v>6.24</v>
      </c>
      <c r="K98" s="87">
        <f>K96*D98</f>
        <v>5.13</v>
      </c>
      <c r="L98" s="87">
        <f>L96*D98</f>
        <v>6.25</v>
      </c>
      <c r="M98" s="87">
        <f>M96*D98</f>
        <v>5.13</v>
      </c>
      <c r="N98" s="29"/>
      <c r="O98" s="29"/>
      <c r="P98" s="85">
        <f>VLOOKUP(B98,'Форма КП'!$B$24:$G$35,5,FALSE)</f>
        <v>0</v>
      </c>
      <c r="Q98" s="85">
        <f t="shared" ref="Q98" si="76">P98*F98</f>
        <v>0</v>
      </c>
      <c r="R98" s="32">
        <f t="shared" si="75"/>
        <v>0</v>
      </c>
      <c r="S98" s="32">
        <f t="shared" ref="S98" si="77">P98*F98</f>
        <v>0</v>
      </c>
    </row>
    <row r="99" spans="1:19" ht="144" x14ac:dyDescent="0.25">
      <c r="A99" s="115">
        <v>76</v>
      </c>
      <c r="B99" s="116" t="s">
        <v>178</v>
      </c>
      <c r="C99" s="117" t="s">
        <v>184</v>
      </c>
      <c r="D99" s="118"/>
      <c r="E99" s="119" t="s">
        <v>130</v>
      </c>
      <c r="F99" s="120">
        <f t="shared" si="71"/>
        <v>267.73</v>
      </c>
      <c r="G99" s="101">
        <f>47.57</f>
        <v>47.57</v>
      </c>
      <c r="H99" s="101">
        <f>34.22</f>
        <v>34.22</v>
      </c>
      <c r="I99" s="101">
        <f>34.23</f>
        <v>34.229999999999997</v>
      </c>
      <c r="J99" s="101">
        <f>41.62</f>
        <v>41.62</v>
      </c>
      <c r="K99" s="101">
        <f>34.21</f>
        <v>34.21</v>
      </c>
      <c r="L99" s="101">
        <f>41.67</f>
        <v>41.67</v>
      </c>
      <c r="M99" s="101">
        <f>34.21</f>
        <v>34.21</v>
      </c>
      <c r="N99" s="100">
        <f>VLOOKUP(B99,'Форма КП'!$B$17:$G$22,5,FALSE)</f>
        <v>0</v>
      </c>
      <c r="O99" s="100">
        <f>N99*F99</f>
        <v>0</v>
      </c>
      <c r="P99" s="100"/>
      <c r="Q99" s="100"/>
      <c r="R99" s="100">
        <f>N99</f>
        <v>0</v>
      </c>
      <c r="S99" s="100">
        <f>N99*F99</f>
        <v>0</v>
      </c>
    </row>
    <row r="100" spans="1:19" ht="24" x14ac:dyDescent="0.25">
      <c r="A100" s="121">
        <v>77</v>
      </c>
      <c r="B100" s="116" t="s">
        <v>179</v>
      </c>
      <c r="C100" s="122" t="s">
        <v>180</v>
      </c>
      <c r="D100" s="125">
        <v>1.03</v>
      </c>
      <c r="E100" s="123" t="s">
        <v>130</v>
      </c>
      <c r="F100" s="124">
        <f t="shared" si="71"/>
        <v>275.77999999999997</v>
      </c>
      <c r="G100" s="87">
        <f>G99*D100</f>
        <v>49</v>
      </c>
      <c r="H100" s="87">
        <f>H99*D100</f>
        <v>35.25</v>
      </c>
      <c r="I100" s="87">
        <f>I99*D100</f>
        <v>35.26</v>
      </c>
      <c r="J100" s="87">
        <f>J99*D100</f>
        <v>42.87</v>
      </c>
      <c r="K100" s="87">
        <f>K99*D100</f>
        <v>35.24</v>
      </c>
      <c r="L100" s="87">
        <f>L99*D100</f>
        <v>42.92</v>
      </c>
      <c r="M100" s="87">
        <f>M99*D100</f>
        <v>35.24</v>
      </c>
      <c r="N100" s="29"/>
      <c r="O100" s="29"/>
      <c r="P100" s="49" t="str">
        <f>VLOOKUP(B100,'Форма КП'!$B$24:$G$35,5,FALSE)</f>
        <v>Материал заказчика</v>
      </c>
      <c r="Q100" s="50"/>
      <c r="R100" s="49" t="str">
        <f t="shared" ref="R100" si="78">P100</f>
        <v>Материал заказчика</v>
      </c>
      <c r="S100" s="50"/>
    </row>
    <row r="101" spans="1:19" x14ac:dyDescent="0.25">
      <c r="A101" s="108" t="s">
        <v>140</v>
      </c>
      <c r="B101" s="109"/>
      <c r="C101" s="110"/>
      <c r="D101" s="111"/>
      <c r="E101" s="112"/>
      <c r="F101" s="113"/>
      <c r="G101" s="114"/>
      <c r="H101" s="114"/>
      <c r="I101" s="114"/>
      <c r="J101" s="114"/>
      <c r="K101" s="114"/>
      <c r="L101" s="114"/>
      <c r="M101" s="114"/>
      <c r="N101" s="33"/>
      <c r="O101" s="33"/>
      <c r="P101" s="33"/>
      <c r="Q101" s="33"/>
      <c r="R101" s="33"/>
      <c r="S101" s="31"/>
    </row>
    <row r="102" spans="1:19" ht="108" x14ac:dyDescent="0.25">
      <c r="A102" s="115">
        <v>78</v>
      </c>
      <c r="B102" s="116" t="s">
        <v>165</v>
      </c>
      <c r="C102" s="117" t="s">
        <v>187</v>
      </c>
      <c r="D102" s="118"/>
      <c r="E102" s="119" t="s">
        <v>130</v>
      </c>
      <c r="F102" s="120">
        <f t="shared" ref="F102:F109" si="79">SUM(G102:M102)</f>
        <v>103.17</v>
      </c>
      <c r="G102" s="103">
        <f>14.74</f>
        <v>14.74</v>
      </c>
      <c r="H102" s="103">
        <f>14.73</f>
        <v>14.73</v>
      </c>
      <c r="I102" s="103">
        <f>14.74</f>
        <v>14.74</v>
      </c>
      <c r="J102" s="103">
        <f>14.74</f>
        <v>14.74</v>
      </c>
      <c r="K102" s="103">
        <f>14.74</f>
        <v>14.74</v>
      </c>
      <c r="L102" s="103">
        <f>14.74</f>
        <v>14.74</v>
      </c>
      <c r="M102" s="103">
        <f>14.74</f>
        <v>14.74</v>
      </c>
      <c r="N102" s="100">
        <f>VLOOKUP(B102,'Форма КП'!$B$17:$G$22,5,FALSE)</f>
        <v>0</v>
      </c>
      <c r="O102" s="100">
        <f>N102*F102</f>
        <v>0</v>
      </c>
      <c r="P102" s="100"/>
      <c r="Q102" s="100"/>
      <c r="R102" s="100">
        <f>N102</f>
        <v>0</v>
      </c>
      <c r="S102" s="100">
        <f>N102*F102</f>
        <v>0</v>
      </c>
    </row>
    <row r="103" spans="1:19" ht="24" x14ac:dyDescent="0.25">
      <c r="A103" s="121">
        <v>79</v>
      </c>
      <c r="B103" s="116" t="s">
        <v>170</v>
      </c>
      <c r="C103" s="122" t="s">
        <v>171</v>
      </c>
      <c r="D103" s="125">
        <v>0.25</v>
      </c>
      <c r="E103" s="123" t="s">
        <v>132</v>
      </c>
      <c r="F103" s="124">
        <f t="shared" si="79"/>
        <v>25.82</v>
      </c>
      <c r="G103" s="87">
        <f>G102*D103</f>
        <v>3.69</v>
      </c>
      <c r="H103" s="87">
        <f>H102*D103</f>
        <v>3.68</v>
      </c>
      <c r="I103" s="87">
        <f>I102*D103</f>
        <v>3.69</v>
      </c>
      <c r="J103" s="87">
        <f>J102*D103</f>
        <v>3.69</v>
      </c>
      <c r="K103" s="87">
        <f>K102*D103</f>
        <v>3.69</v>
      </c>
      <c r="L103" s="87">
        <f>L102*D103</f>
        <v>3.69</v>
      </c>
      <c r="M103" s="87">
        <f>M102*D103</f>
        <v>3.69</v>
      </c>
      <c r="N103" s="29"/>
      <c r="O103" s="29"/>
      <c r="P103" s="49" t="str">
        <f>VLOOKUP(B103,'Форма КП'!$B$24:$G$35,5,FALSE)</f>
        <v>Материал заказчика</v>
      </c>
      <c r="Q103" s="50"/>
      <c r="R103" s="49" t="str">
        <f t="shared" ref="R103:R104" si="80">P103</f>
        <v>Материал заказчика</v>
      </c>
      <c r="S103" s="50"/>
    </row>
    <row r="104" spans="1:19" x14ac:dyDescent="0.25">
      <c r="A104" s="121">
        <v>80</v>
      </c>
      <c r="B104" s="116" t="s">
        <v>164</v>
      </c>
      <c r="C104" s="122" t="s">
        <v>131</v>
      </c>
      <c r="D104" s="125">
        <v>0.15</v>
      </c>
      <c r="E104" s="123" t="s">
        <v>132</v>
      </c>
      <c r="F104" s="124">
        <f t="shared" si="79"/>
        <v>15.47</v>
      </c>
      <c r="G104" s="87">
        <f>G102*D104</f>
        <v>2.21</v>
      </c>
      <c r="H104" s="87">
        <f>H102*D104</f>
        <v>2.21</v>
      </c>
      <c r="I104" s="87">
        <f>I102*D104</f>
        <v>2.21</v>
      </c>
      <c r="J104" s="87">
        <f>J102*D104</f>
        <v>2.21</v>
      </c>
      <c r="K104" s="87">
        <f>K102*D104</f>
        <v>2.21</v>
      </c>
      <c r="L104" s="87">
        <f>L102*D104</f>
        <v>2.21</v>
      </c>
      <c r="M104" s="87">
        <f>M102*D104</f>
        <v>2.21</v>
      </c>
      <c r="N104" s="29"/>
      <c r="O104" s="29"/>
      <c r="P104" s="85">
        <f>VLOOKUP(B104,'Форма КП'!$B$24:$G$35,5,FALSE)</f>
        <v>0</v>
      </c>
      <c r="Q104" s="85">
        <f t="shared" ref="Q104" si="81">P104*F104</f>
        <v>0</v>
      </c>
      <c r="R104" s="32">
        <f t="shared" si="80"/>
        <v>0</v>
      </c>
      <c r="S104" s="32">
        <f t="shared" ref="S104" si="82">P104*F104</f>
        <v>0</v>
      </c>
    </row>
    <row r="105" spans="1:19" ht="108" x14ac:dyDescent="0.25">
      <c r="A105" s="115">
        <v>81</v>
      </c>
      <c r="B105" s="116" t="s">
        <v>165</v>
      </c>
      <c r="C105" s="117" t="s">
        <v>187</v>
      </c>
      <c r="D105" s="118"/>
      <c r="E105" s="119" t="s">
        <v>130</v>
      </c>
      <c r="F105" s="120">
        <f t="shared" si="79"/>
        <v>267.73</v>
      </c>
      <c r="G105" s="101">
        <v>47.57</v>
      </c>
      <c r="H105" s="101">
        <v>34.22</v>
      </c>
      <c r="I105" s="101">
        <v>34.229999999999997</v>
      </c>
      <c r="J105" s="101">
        <v>41.62</v>
      </c>
      <c r="K105" s="101">
        <v>34.21</v>
      </c>
      <c r="L105" s="101">
        <v>41.67</v>
      </c>
      <c r="M105" s="101">
        <v>34.21</v>
      </c>
      <c r="N105" s="100">
        <f>VLOOKUP(B105,'Форма КП'!$B$17:$G$22,5,FALSE)</f>
        <v>0</v>
      </c>
      <c r="O105" s="100">
        <f>N105*F105</f>
        <v>0</v>
      </c>
      <c r="P105" s="100"/>
      <c r="Q105" s="100"/>
      <c r="R105" s="100">
        <f>N105</f>
        <v>0</v>
      </c>
      <c r="S105" s="100">
        <f>N105*F105</f>
        <v>0</v>
      </c>
    </row>
    <row r="106" spans="1:19" ht="24" x14ac:dyDescent="0.25">
      <c r="A106" s="121">
        <v>82</v>
      </c>
      <c r="B106" s="116" t="s">
        <v>168</v>
      </c>
      <c r="C106" s="122" t="s">
        <v>169</v>
      </c>
      <c r="D106" s="125">
        <v>0.25</v>
      </c>
      <c r="E106" s="123" t="s">
        <v>132</v>
      </c>
      <c r="F106" s="124">
        <f t="shared" si="79"/>
        <v>66.94</v>
      </c>
      <c r="G106" s="87">
        <f>G105*D106</f>
        <v>11.89</v>
      </c>
      <c r="H106" s="87">
        <f>H105*D106</f>
        <v>8.56</v>
      </c>
      <c r="I106" s="87">
        <f>I105*D106</f>
        <v>8.56</v>
      </c>
      <c r="J106" s="87">
        <f>J105*D106</f>
        <v>10.41</v>
      </c>
      <c r="K106" s="87">
        <f>K105*D106</f>
        <v>8.5500000000000007</v>
      </c>
      <c r="L106" s="87">
        <f>L105*D106</f>
        <v>10.42</v>
      </c>
      <c r="M106" s="87">
        <f>M105*D106</f>
        <v>8.5500000000000007</v>
      </c>
      <c r="N106" s="29"/>
      <c r="O106" s="29"/>
      <c r="P106" s="49" t="str">
        <f>VLOOKUP(B106,'Форма КП'!$B$24:$G$35,5,FALSE)</f>
        <v>Материал заказчика</v>
      </c>
      <c r="Q106" s="50"/>
      <c r="R106" s="49" t="str">
        <f t="shared" ref="R106:R107" si="83">P106</f>
        <v>Материал заказчика</v>
      </c>
      <c r="S106" s="50"/>
    </row>
    <row r="107" spans="1:19" x14ac:dyDescent="0.25">
      <c r="A107" s="121">
        <v>83</v>
      </c>
      <c r="B107" s="116" t="s">
        <v>164</v>
      </c>
      <c r="C107" s="122" t="s">
        <v>131</v>
      </c>
      <c r="D107" s="125">
        <v>0.15</v>
      </c>
      <c r="E107" s="123" t="s">
        <v>132</v>
      </c>
      <c r="F107" s="124">
        <f t="shared" si="79"/>
        <v>40.15</v>
      </c>
      <c r="G107" s="87">
        <f>G105*D107</f>
        <v>7.14</v>
      </c>
      <c r="H107" s="87">
        <f>H105*D107</f>
        <v>5.13</v>
      </c>
      <c r="I107" s="87">
        <f>I105*D107</f>
        <v>5.13</v>
      </c>
      <c r="J107" s="87">
        <f>J105*D107</f>
        <v>6.24</v>
      </c>
      <c r="K107" s="87">
        <f>K105*D107</f>
        <v>5.13</v>
      </c>
      <c r="L107" s="87">
        <f>L105*D107</f>
        <v>6.25</v>
      </c>
      <c r="M107" s="87">
        <f>M105*D107</f>
        <v>5.13</v>
      </c>
      <c r="N107" s="29"/>
      <c r="O107" s="29"/>
      <c r="P107" s="85">
        <f>VLOOKUP(B107,'Форма КП'!$B$24:$G$35,5,FALSE)</f>
        <v>0</v>
      </c>
      <c r="Q107" s="85">
        <f t="shared" ref="Q107" si="84">P107*F107</f>
        <v>0</v>
      </c>
      <c r="R107" s="32">
        <f t="shared" si="83"/>
        <v>0</v>
      </c>
      <c r="S107" s="32">
        <f t="shared" ref="S107" si="85">P107*F107</f>
        <v>0</v>
      </c>
    </row>
    <row r="108" spans="1:19" ht="144" x14ac:dyDescent="0.25">
      <c r="A108" s="115">
        <v>84</v>
      </c>
      <c r="B108" s="116" t="s">
        <v>178</v>
      </c>
      <c r="C108" s="117" t="s">
        <v>184</v>
      </c>
      <c r="D108" s="118"/>
      <c r="E108" s="119" t="s">
        <v>130</v>
      </c>
      <c r="F108" s="120">
        <f t="shared" si="79"/>
        <v>267.73</v>
      </c>
      <c r="G108" s="101">
        <f>47.57</f>
        <v>47.57</v>
      </c>
      <c r="H108" s="101">
        <f>34.22</f>
        <v>34.22</v>
      </c>
      <c r="I108" s="101">
        <f>34.23</f>
        <v>34.229999999999997</v>
      </c>
      <c r="J108" s="101">
        <f>41.62</f>
        <v>41.62</v>
      </c>
      <c r="K108" s="101">
        <f>34.21</f>
        <v>34.21</v>
      </c>
      <c r="L108" s="101">
        <f>41.67</f>
        <v>41.67</v>
      </c>
      <c r="M108" s="101">
        <f>34.21</f>
        <v>34.21</v>
      </c>
      <c r="N108" s="100">
        <f>VLOOKUP(B108,'Форма КП'!$B$17:$G$22,5,FALSE)</f>
        <v>0</v>
      </c>
      <c r="O108" s="100">
        <f>N108*F108</f>
        <v>0</v>
      </c>
      <c r="P108" s="100"/>
      <c r="Q108" s="100"/>
      <c r="R108" s="100">
        <f>N108</f>
        <v>0</v>
      </c>
      <c r="S108" s="100">
        <f>N108*F108</f>
        <v>0</v>
      </c>
    </row>
    <row r="109" spans="1:19" ht="24" x14ac:dyDescent="0.25">
      <c r="A109" s="121">
        <v>85</v>
      </c>
      <c r="B109" s="116" t="s">
        <v>179</v>
      </c>
      <c r="C109" s="122" t="s">
        <v>180</v>
      </c>
      <c r="D109" s="125">
        <v>1.03</v>
      </c>
      <c r="E109" s="123" t="s">
        <v>130</v>
      </c>
      <c r="F109" s="124">
        <f t="shared" si="79"/>
        <v>275.77999999999997</v>
      </c>
      <c r="G109" s="87">
        <f>G108*D109</f>
        <v>49</v>
      </c>
      <c r="H109" s="87">
        <f>H108*D109</f>
        <v>35.25</v>
      </c>
      <c r="I109" s="87">
        <f>I108*D109</f>
        <v>35.26</v>
      </c>
      <c r="J109" s="87">
        <f>J108*D109</f>
        <v>42.87</v>
      </c>
      <c r="K109" s="87">
        <f>K108*D109</f>
        <v>35.24</v>
      </c>
      <c r="L109" s="87">
        <f>L108*D109</f>
        <v>42.92</v>
      </c>
      <c r="M109" s="87">
        <f>M108*D109</f>
        <v>35.24</v>
      </c>
      <c r="N109" s="29"/>
      <c r="O109" s="29"/>
      <c r="P109" s="49" t="str">
        <f>VLOOKUP(B109,'Форма КП'!$B$24:$G$35,5,FALSE)</f>
        <v>Материал заказчика</v>
      </c>
      <c r="Q109" s="50"/>
      <c r="R109" s="49" t="str">
        <f t="shared" ref="R109" si="86">P109</f>
        <v>Материал заказчика</v>
      </c>
      <c r="S109" s="50"/>
    </row>
    <row r="110" spans="1:19" x14ac:dyDescent="0.25">
      <c r="A110" s="108" t="s">
        <v>141</v>
      </c>
      <c r="B110" s="109"/>
      <c r="C110" s="110"/>
      <c r="D110" s="111"/>
      <c r="E110" s="112"/>
      <c r="F110" s="113"/>
      <c r="G110" s="114"/>
      <c r="H110" s="114"/>
      <c r="I110" s="114"/>
      <c r="J110" s="114"/>
      <c r="K110" s="114"/>
      <c r="L110" s="114"/>
      <c r="M110" s="114"/>
      <c r="N110" s="33"/>
      <c r="O110" s="33"/>
      <c r="P110" s="33"/>
      <c r="Q110" s="33"/>
      <c r="R110" s="33"/>
      <c r="S110" s="31"/>
    </row>
    <row r="111" spans="1:19" ht="108" x14ac:dyDescent="0.25">
      <c r="A111" s="115">
        <v>86</v>
      </c>
      <c r="B111" s="116" t="s">
        <v>165</v>
      </c>
      <c r="C111" s="117" t="s">
        <v>187</v>
      </c>
      <c r="D111" s="118"/>
      <c r="E111" s="119" t="s">
        <v>130</v>
      </c>
      <c r="F111" s="120">
        <f t="shared" ref="F111:F118" si="87">SUM(G111:M111)</f>
        <v>103.17</v>
      </c>
      <c r="G111" s="103">
        <f>14.74</f>
        <v>14.74</v>
      </c>
      <c r="H111" s="103">
        <f>14.73</f>
        <v>14.73</v>
      </c>
      <c r="I111" s="103">
        <f>14.74</f>
        <v>14.74</v>
      </c>
      <c r="J111" s="103">
        <f>14.74</f>
        <v>14.74</v>
      </c>
      <c r="K111" s="103">
        <f>14.74</f>
        <v>14.74</v>
      </c>
      <c r="L111" s="103">
        <f>14.74</f>
        <v>14.74</v>
      </c>
      <c r="M111" s="103">
        <f>14.74</f>
        <v>14.74</v>
      </c>
      <c r="N111" s="100">
        <f>VLOOKUP(B111,'Форма КП'!$B$17:$G$22,5,FALSE)</f>
        <v>0</v>
      </c>
      <c r="O111" s="100">
        <f>N111*F111</f>
        <v>0</v>
      </c>
      <c r="P111" s="100"/>
      <c r="Q111" s="100"/>
      <c r="R111" s="100">
        <f>N111</f>
        <v>0</v>
      </c>
      <c r="S111" s="100">
        <f>N111*F111</f>
        <v>0</v>
      </c>
    </row>
    <row r="112" spans="1:19" ht="24" x14ac:dyDescent="0.25">
      <c r="A112" s="121">
        <v>87</v>
      </c>
      <c r="B112" s="116" t="s">
        <v>170</v>
      </c>
      <c r="C112" s="122" t="s">
        <v>171</v>
      </c>
      <c r="D112" s="125">
        <v>0.25</v>
      </c>
      <c r="E112" s="123" t="s">
        <v>132</v>
      </c>
      <c r="F112" s="124">
        <f t="shared" si="87"/>
        <v>25.82</v>
      </c>
      <c r="G112" s="87">
        <f>G111*D112</f>
        <v>3.69</v>
      </c>
      <c r="H112" s="87">
        <f>H111*D112</f>
        <v>3.68</v>
      </c>
      <c r="I112" s="87">
        <f>I111*D112</f>
        <v>3.69</v>
      </c>
      <c r="J112" s="87">
        <f>J111*D112</f>
        <v>3.69</v>
      </c>
      <c r="K112" s="87">
        <f>K111*D112</f>
        <v>3.69</v>
      </c>
      <c r="L112" s="87">
        <f>L111*D112</f>
        <v>3.69</v>
      </c>
      <c r="M112" s="87">
        <f>M111*D112</f>
        <v>3.69</v>
      </c>
      <c r="N112" s="29"/>
      <c r="O112" s="29"/>
      <c r="P112" s="49" t="str">
        <f>VLOOKUP(B112,'Форма КП'!$B$24:$G$35,5,FALSE)</f>
        <v>Материал заказчика</v>
      </c>
      <c r="Q112" s="50"/>
      <c r="R112" s="49" t="str">
        <f t="shared" ref="R112:R113" si="88">P112</f>
        <v>Материал заказчика</v>
      </c>
      <c r="S112" s="50"/>
    </row>
    <row r="113" spans="1:19" x14ac:dyDescent="0.25">
      <c r="A113" s="121">
        <v>88</v>
      </c>
      <c r="B113" s="116" t="s">
        <v>164</v>
      </c>
      <c r="C113" s="122" t="s">
        <v>131</v>
      </c>
      <c r="D113" s="125">
        <v>0.15</v>
      </c>
      <c r="E113" s="123" t="s">
        <v>132</v>
      </c>
      <c r="F113" s="124">
        <f t="shared" si="87"/>
        <v>15.47</v>
      </c>
      <c r="G113" s="87">
        <f>G111*D113</f>
        <v>2.21</v>
      </c>
      <c r="H113" s="87">
        <f>H111*D113</f>
        <v>2.21</v>
      </c>
      <c r="I113" s="87">
        <f>I111*D113</f>
        <v>2.21</v>
      </c>
      <c r="J113" s="87">
        <f>J111*D113</f>
        <v>2.21</v>
      </c>
      <c r="K113" s="87">
        <f>K111*D113</f>
        <v>2.21</v>
      </c>
      <c r="L113" s="87">
        <f>L111*D113</f>
        <v>2.21</v>
      </c>
      <c r="M113" s="87">
        <f>M111*D113</f>
        <v>2.21</v>
      </c>
      <c r="N113" s="29"/>
      <c r="O113" s="29"/>
      <c r="P113" s="85">
        <f>VLOOKUP(B113,'Форма КП'!$B$24:$G$35,5,FALSE)</f>
        <v>0</v>
      </c>
      <c r="Q113" s="85">
        <f t="shared" ref="Q113" si="89">P113*F113</f>
        <v>0</v>
      </c>
      <c r="R113" s="32">
        <f t="shared" si="88"/>
        <v>0</v>
      </c>
      <c r="S113" s="32">
        <f t="shared" ref="S113" si="90">P113*F113</f>
        <v>0</v>
      </c>
    </row>
    <row r="114" spans="1:19" ht="108" x14ac:dyDescent="0.25">
      <c r="A114" s="115">
        <v>89</v>
      </c>
      <c r="B114" s="116" t="s">
        <v>165</v>
      </c>
      <c r="C114" s="117" t="s">
        <v>187</v>
      </c>
      <c r="D114" s="118"/>
      <c r="E114" s="119" t="s">
        <v>130</v>
      </c>
      <c r="F114" s="120">
        <f t="shared" si="87"/>
        <v>267.73</v>
      </c>
      <c r="G114" s="101">
        <v>47.57</v>
      </c>
      <c r="H114" s="101">
        <v>34.22</v>
      </c>
      <c r="I114" s="101">
        <v>34.229999999999997</v>
      </c>
      <c r="J114" s="101">
        <v>41.62</v>
      </c>
      <c r="K114" s="101">
        <v>34.21</v>
      </c>
      <c r="L114" s="101">
        <v>41.67</v>
      </c>
      <c r="M114" s="101">
        <v>34.21</v>
      </c>
      <c r="N114" s="100">
        <f>VLOOKUP(B114,'Форма КП'!$B$17:$G$22,5,FALSE)</f>
        <v>0</v>
      </c>
      <c r="O114" s="100">
        <f>N114*F114</f>
        <v>0</v>
      </c>
      <c r="P114" s="100"/>
      <c r="Q114" s="100"/>
      <c r="R114" s="100">
        <f>N114</f>
        <v>0</v>
      </c>
      <c r="S114" s="100">
        <f>N114*F114</f>
        <v>0</v>
      </c>
    </row>
    <row r="115" spans="1:19" ht="24" x14ac:dyDescent="0.25">
      <c r="A115" s="121">
        <v>90</v>
      </c>
      <c r="B115" s="116" t="s">
        <v>168</v>
      </c>
      <c r="C115" s="122" t="s">
        <v>169</v>
      </c>
      <c r="D115" s="125">
        <v>0.25</v>
      </c>
      <c r="E115" s="123" t="s">
        <v>132</v>
      </c>
      <c r="F115" s="124">
        <f t="shared" si="87"/>
        <v>66.94</v>
      </c>
      <c r="G115" s="87">
        <f>G114*D115</f>
        <v>11.89</v>
      </c>
      <c r="H115" s="87">
        <f>H114*D115</f>
        <v>8.56</v>
      </c>
      <c r="I115" s="87">
        <f>I114*D115</f>
        <v>8.56</v>
      </c>
      <c r="J115" s="87">
        <f>J114*D115</f>
        <v>10.41</v>
      </c>
      <c r="K115" s="87">
        <f>K114*D115</f>
        <v>8.5500000000000007</v>
      </c>
      <c r="L115" s="87">
        <f>L114*D115</f>
        <v>10.42</v>
      </c>
      <c r="M115" s="87">
        <f>M114*D115</f>
        <v>8.5500000000000007</v>
      </c>
      <c r="N115" s="29"/>
      <c r="O115" s="29"/>
      <c r="P115" s="49" t="str">
        <f>VLOOKUP(B115,'Форма КП'!$B$24:$G$35,5,FALSE)</f>
        <v>Материал заказчика</v>
      </c>
      <c r="Q115" s="50"/>
      <c r="R115" s="49" t="str">
        <f t="shared" ref="R115:R116" si="91">P115</f>
        <v>Материал заказчика</v>
      </c>
      <c r="S115" s="50"/>
    </row>
    <row r="116" spans="1:19" x14ac:dyDescent="0.25">
      <c r="A116" s="121">
        <v>91</v>
      </c>
      <c r="B116" s="116" t="s">
        <v>164</v>
      </c>
      <c r="C116" s="122" t="s">
        <v>131</v>
      </c>
      <c r="D116" s="125">
        <v>0.15</v>
      </c>
      <c r="E116" s="123" t="s">
        <v>132</v>
      </c>
      <c r="F116" s="124">
        <f t="shared" si="87"/>
        <v>40.15</v>
      </c>
      <c r="G116" s="87">
        <f>G114*D116</f>
        <v>7.14</v>
      </c>
      <c r="H116" s="87">
        <f>H114*D116</f>
        <v>5.13</v>
      </c>
      <c r="I116" s="87">
        <f>I114*D116</f>
        <v>5.13</v>
      </c>
      <c r="J116" s="87">
        <f>J114*D116</f>
        <v>6.24</v>
      </c>
      <c r="K116" s="87">
        <f>K114*D116</f>
        <v>5.13</v>
      </c>
      <c r="L116" s="87">
        <f>L114*D116</f>
        <v>6.25</v>
      </c>
      <c r="M116" s="87">
        <f>M114*D116</f>
        <v>5.13</v>
      </c>
      <c r="N116" s="29"/>
      <c r="O116" s="29"/>
      <c r="P116" s="85">
        <f>VLOOKUP(B116,'Форма КП'!$B$24:$G$35,5,FALSE)</f>
        <v>0</v>
      </c>
      <c r="Q116" s="85">
        <f t="shared" ref="Q116" si="92">P116*F116</f>
        <v>0</v>
      </c>
      <c r="R116" s="32">
        <f t="shared" si="91"/>
        <v>0</v>
      </c>
      <c r="S116" s="32">
        <f t="shared" ref="S116" si="93">P116*F116</f>
        <v>0</v>
      </c>
    </row>
    <row r="117" spans="1:19" ht="144" x14ac:dyDescent="0.25">
      <c r="A117" s="115">
        <v>92</v>
      </c>
      <c r="B117" s="116" t="s">
        <v>178</v>
      </c>
      <c r="C117" s="117" t="s">
        <v>184</v>
      </c>
      <c r="D117" s="118"/>
      <c r="E117" s="119" t="s">
        <v>130</v>
      </c>
      <c r="F117" s="120">
        <f t="shared" si="87"/>
        <v>267.73</v>
      </c>
      <c r="G117" s="101">
        <f>47.57</f>
        <v>47.57</v>
      </c>
      <c r="H117" s="101">
        <f>34.22</f>
        <v>34.22</v>
      </c>
      <c r="I117" s="101">
        <f>34.23</f>
        <v>34.229999999999997</v>
      </c>
      <c r="J117" s="101">
        <f>41.62</f>
        <v>41.62</v>
      </c>
      <c r="K117" s="101">
        <f>34.21</f>
        <v>34.21</v>
      </c>
      <c r="L117" s="101">
        <f>41.67</f>
        <v>41.67</v>
      </c>
      <c r="M117" s="101">
        <f>34.21</f>
        <v>34.21</v>
      </c>
      <c r="N117" s="100">
        <f>VLOOKUP(B117,'Форма КП'!$B$17:$G$22,5,FALSE)</f>
        <v>0</v>
      </c>
      <c r="O117" s="100">
        <f>N117*F117</f>
        <v>0</v>
      </c>
      <c r="P117" s="100"/>
      <c r="Q117" s="100"/>
      <c r="R117" s="100">
        <f>N117</f>
        <v>0</v>
      </c>
      <c r="S117" s="100">
        <f>N117*F117</f>
        <v>0</v>
      </c>
    </row>
    <row r="118" spans="1:19" ht="24" x14ac:dyDescent="0.25">
      <c r="A118" s="121">
        <v>93</v>
      </c>
      <c r="B118" s="116" t="s">
        <v>179</v>
      </c>
      <c r="C118" s="122" t="s">
        <v>180</v>
      </c>
      <c r="D118" s="125">
        <v>1.03</v>
      </c>
      <c r="E118" s="123" t="s">
        <v>130</v>
      </c>
      <c r="F118" s="124">
        <f t="shared" si="87"/>
        <v>275.77999999999997</v>
      </c>
      <c r="G118" s="87">
        <f>G117*D118</f>
        <v>49</v>
      </c>
      <c r="H118" s="87">
        <f>H117*D118</f>
        <v>35.25</v>
      </c>
      <c r="I118" s="87">
        <f>I117*D118</f>
        <v>35.26</v>
      </c>
      <c r="J118" s="87">
        <f>J117*D118</f>
        <v>42.87</v>
      </c>
      <c r="K118" s="87">
        <f>K117*D118</f>
        <v>35.24</v>
      </c>
      <c r="L118" s="87">
        <f>L117*D118</f>
        <v>42.92</v>
      </c>
      <c r="M118" s="87">
        <f>M117*D118</f>
        <v>35.24</v>
      </c>
      <c r="N118" s="29"/>
      <c r="O118" s="29"/>
      <c r="P118" s="49" t="str">
        <f>VLOOKUP(B118,'Форма КП'!$B$24:$G$35,5,FALSE)</f>
        <v>Материал заказчика</v>
      </c>
      <c r="Q118" s="50"/>
      <c r="R118" s="49" t="str">
        <f t="shared" ref="R118" si="94">P118</f>
        <v>Материал заказчика</v>
      </c>
      <c r="S118" s="50"/>
    </row>
    <row r="119" spans="1:19" x14ac:dyDescent="0.25">
      <c r="A119" s="108" t="s">
        <v>142</v>
      </c>
      <c r="B119" s="109"/>
      <c r="C119" s="110"/>
      <c r="D119" s="111"/>
      <c r="E119" s="112"/>
      <c r="F119" s="113"/>
      <c r="G119" s="114"/>
      <c r="H119" s="114"/>
      <c r="I119" s="114"/>
      <c r="J119" s="114"/>
      <c r="K119" s="114"/>
      <c r="L119" s="114"/>
      <c r="M119" s="114"/>
      <c r="N119" s="33"/>
      <c r="O119" s="33"/>
      <c r="P119" s="33"/>
      <c r="Q119" s="33"/>
      <c r="R119" s="33"/>
      <c r="S119" s="31"/>
    </row>
    <row r="120" spans="1:19" ht="108" x14ac:dyDescent="0.25">
      <c r="A120" s="115">
        <v>94</v>
      </c>
      <c r="B120" s="116" t="s">
        <v>165</v>
      </c>
      <c r="C120" s="117" t="s">
        <v>187</v>
      </c>
      <c r="D120" s="118"/>
      <c r="E120" s="119" t="s">
        <v>130</v>
      </c>
      <c r="F120" s="120">
        <f t="shared" ref="F120:F127" si="95">SUM(G120:M120)</f>
        <v>103.17</v>
      </c>
      <c r="G120" s="103">
        <f>14.74</f>
        <v>14.74</v>
      </c>
      <c r="H120" s="103">
        <f>14.73</f>
        <v>14.73</v>
      </c>
      <c r="I120" s="103">
        <f>14.74</f>
        <v>14.74</v>
      </c>
      <c r="J120" s="103">
        <f>14.74</f>
        <v>14.74</v>
      </c>
      <c r="K120" s="103">
        <f>14.74</f>
        <v>14.74</v>
      </c>
      <c r="L120" s="103">
        <f>14.74</f>
        <v>14.74</v>
      </c>
      <c r="M120" s="103">
        <f>14.74</f>
        <v>14.74</v>
      </c>
      <c r="N120" s="100">
        <f>VLOOKUP(B120,'Форма КП'!$B$17:$G$22,5,FALSE)</f>
        <v>0</v>
      </c>
      <c r="O120" s="100">
        <f>N120*F120</f>
        <v>0</v>
      </c>
      <c r="P120" s="100"/>
      <c r="Q120" s="100"/>
      <c r="R120" s="100">
        <f>N120</f>
        <v>0</v>
      </c>
      <c r="S120" s="100">
        <f>N120*F120</f>
        <v>0</v>
      </c>
    </row>
    <row r="121" spans="1:19" ht="24" x14ac:dyDescent="0.25">
      <c r="A121" s="121">
        <v>95</v>
      </c>
      <c r="B121" s="116" t="s">
        <v>170</v>
      </c>
      <c r="C121" s="122" t="s">
        <v>171</v>
      </c>
      <c r="D121" s="125">
        <v>0.25</v>
      </c>
      <c r="E121" s="123" t="s">
        <v>132</v>
      </c>
      <c r="F121" s="124">
        <f t="shared" si="95"/>
        <v>25.82</v>
      </c>
      <c r="G121" s="87">
        <f>G120*D121</f>
        <v>3.69</v>
      </c>
      <c r="H121" s="87">
        <f>H120*D121</f>
        <v>3.68</v>
      </c>
      <c r="I121" s="87">
        <f>I120*D121</f>
        <v>3.69</v>
      </c>
      <c r="J121" s="87">
        <f>J120*D121</f>
        <v>3.69</v>
      </c>
      <c r="K121" s="87">
        <f>K120*D121</f>
        <v>3.69</v>
      </c>
      <c r="L121" s="87">
        <f>L120*D121</f>
        <v>3.69</v>
      </c>
      <c r="M121" s="87">
        <f>M120*D121</f>
        <v>3.69</v>
      </c>
      <c r="N121" s="29"/>
      <c r="O121" s="29"/>
      <c r="P121" s="49" t="str">
        <f>VLOOKUP(B121,'Форма КП'!$B$24:$G$35,5,FALSE)</f>
        <v>Материал заказчика</v>
      </c>
      <c r="Q121" s="50"/>
      <c r="R121" s="49" t="str">
        <f t="shared" ref="R121:R122" si="96">P121</f>
        <v>Материал заказчика</v>
      </c>
      <c r="S121" s="50"/>
    </row>
    <row r="122" spans="1:19" x14ac:dyDescent="0.25">
      <c r="A122" s="121">
        <v>96</v>
      </c>
      <c r="B122" s="116" t="s">
        <v>164</v>
      </c>
      <c r="C122" s="122" t="s">
        <v>131</v>
      </c>
      <c r="D122" s="125">
        <v>0.15</v>
      </c>
      <c r="E122" s="123" t="s">
        <v>132</v>
      </c>
      <c r="F122" s="124">
        <f t="shared" si="95"/>
        <v>15.47</v>
      </c>
      <c r="G122" s="87">
        <f>G120*D122</f>
        <v>2.21</v>
      </c>
      <c r="H122" s="87">
        <f>H120*D122</f>
        <v>2.21</v>
      </c>
      <c r="I122" s="87">
        <f>I120*D122</f>
        <v>2.21</v>
      </c>
      <c r="J122" s="87">
        <f>J120*D122</f>
        <v>2.21</v>
      </c>
      <c r="K122" s="87">
        <f>K120*D122</f>
        <v>2.21</v>
      </c>
      <c r="L122" s="87">
        <f>L120*D122</f>
        <v>2.21</v>
      </c>
      <c r="M122" s="87">
        <f>M120*D122</f>
        <v>2.21</v>
      </c>
      <c r="N122" s="29"/>
      <c r="O122" s="29"/>
      <c r="P122" s="85">
        <f>VLOOKUP(B122,'Форма КП'!$B$24:$G$35,5,FALSE)</f>
        <v>0</v>
      </c>
      <c r="Q122" s="85">
        <f t="shared" ref="Q122" si="97">P122*F122</f>
        <v>0</v>
      </c>
      <c r="R122" s="32">
        <f t="shared" si="96"/>
        <v>0</v>
      </c>
      <c r="S122" s="32">
        <f t="shared" ref="S122" si="98">P122*F122</f>
        <v>0</v>
      </c>
    </row>
    <row r="123" spans="1:19" ht="108" x14ac:dyDescent="0.25">
      <c r="A123" s="115">
        <v>97</v>
      </c>
      <c r="B123" s="116" t="s">
        <v>165</v>
      </c>
      <c r="C123" s="117" t="s">
        <v>187</v>
      </c>
      <c r="D123" s="118"/>
      <c r="E123" s="119" t="s">
        <v>130</v>
      </c>
      <c r="F123" s="120">
        <f t="shared" si="95"/>
        <v>267.73</v>
      </c>
      <c r="G123" s="101">
        <v>47.57</v>
      </c>
      <c r="H123" s="101">
        <v>34.22</v>
      </c>
      <c r="I123" s="101">
        <v>34.229999999999997</v>
      </c>
      <c r="J123" s="101">
        <v>41.62</v>
      </c>
      <c r="K123" s="101">
        <v>34.21</v>
      </c>
      <c r="L123" s="101">
        <v>41.67</v>
      </c>
      <c r="M123" s="101">
        <v>34.21</v>
      </c>
      <c r="N123" s="100">
        <f>VLOOKUP(B123,'Форма КП'!$B$17:$G$22,5,FALSE)</f>
        <v>0</v>
      </c>
      <c r="O123" s="100">
        <f>N123*F123</f>
        <v>0</v>
      </c>
      <c r="P123" s="100"/>
      <c r="Q123" s="100"/>
      <c r="R123" s="100">
        <f>N123</f>
        <v>0</v>
      </c>
      <c r="S123" s="100">
        <f>N123*F123</f>
        <v>0</v>
      </c>
    </row>
    <row r="124" spans="1:19" ht="24" x14ac:dyDescent="0.25">
      <c r="A124" s="121">
        <v>98</v>
      </c>
      <c r="B124" s="116" t="s">
        <v>168</v>
      </c>
      <c r="C124" s="122" t="s">
        <v>169</v>
      </c>
      <c r="D124" s="125">
        <v>0.25</v>
      </c>
      <c r="E124" s="123" t="s">
        <v>132</v>
      </c>
      <c r="F124" s="124">
        <f t="shared" si="95"/>
        <v>66.94</v>
      </c>
      <c r="G124" s="87">
        <f>G123*D124</f>
        <v>11.89</v>
      </c>
      <c r="H124" s="87">
        <f>H123*D124</f>
        <v>8.56</v>
      </c>
      <c r="I124" s="87">
        <f>I123*D124</f>
        <v>8.56</v>
      </c>
      <c r="J124" s="87">
        <f>J123*D124</f>
        <v>10.41</v>
      </c>
      <c r="K124" s="87">
        <f>K123*D124</f>
        <v>8.5500000000000007</v>
      </c>
      <c r="L124" s="87">
        <f>L123*D124</f>
        <v>10.42</v>
      </c>
      <c r="M124" s="87">
        <f>M123*D124</f>
        <v>8.5500000000000007</v>
      </c>
      <c r="N124" s="29"/>
      <c r="O124" s="29"/>
      <c r="P124" s="49" t="str">
        <f>VLOOKUP(B124,'Форма КП'!$B$24:$G$35,5,FALSE)</f>
        <v>Материал заказчика</v>
      </c>
      <c r="Q124" s="50"/>
      <c r="R124" s="49" t="str">
        <f t="shared" ref="R124:R125" si="99">P124</f>
        <v>Материал заказчика</v>
      </c>
      <c r="S124" s="50"/>
    </row>
    <row r="125" spans="1:19" x14ac:dyDescent="0.25">
      <c r="A125" s="121">
        <v>99</v>
      </c>
      <c r="B125" s="116" t="s">
        <v>164</v>
      </c>
      <c r="C125" s="122" t="s">
        <v>131</v>
      </c>
      <c r="D125" s="125">
        <v>0.15</v>
      </c>
      <c r="E125" s="123" t="s">
        <v>132</v>
      </c>
      <c r="F125" s="124">
        <f t="shared" si="95"/>
        <v>40.15</v>
      </c>
      <c r="G125" s="87">
        <f>G123*D125</f>
        <v>7.14</v>
      </c>
      <c r="H125" s="87">
        <f>H123*D125</f>
        <v>5.13</v>
      </c>
      <c r="I125" s="87">
        <f>I123*D125</f>
        <v>5.13</v>
      </c>
      <c r="J125" s="87">
        <f>J123*D125</f>
        <v>6.24</v>
      </c>
      <c r="K125" s="87">
        <f>K123*D125</f>
        <v>5.13</v>
      </c>
      <c r="L125" s="87">
        <f>L123*D125</f>
        <v>6.25</v>
      </c>
      <c r="M125" s="87">
        <f>M123*D125</f>
        <v>5.13</v>
      </c>
      <c r="N125" s="29"/>
      <c r="O125" s="29"/>
      <c r="P125" s="85">
        <f>VLOOKUP(B125,'Форма КП'!$B$24:$G$35,5,FALSE)</f>
        <v>0</v>
      </c>
      <c r="Q125" s="85">
        <f t="shared" ref="Q125" si="100">P125*F125</f>
        <v>0</v>
      </c>
      <c r="R125" s="32">
        <f t="shared" si="99"/>
        <v>0</v>
      </c>
      <c r="S125" s="32">
        <f t="shared" ref="S125" si="101">P125*F125</f>
        <v>0</v>
      </c>
    </row>
    <row r="126" spans="1:19" ht="144" x14ac:dyDescent="0.25">
      <c r="A126" s="115">
        <v>100</v>
      </c>
      <c r="B126" s="116" t="s">
        <v>178</v>
      </c>
      <c r="C126" s="117" t="s">
        <v>184</v>
      </c>
      <c r="D126" s="118"/>
      <c r="E126" s="119" t="s">
        <v>130</v>
      </c>
      <c r="F126" s="120">
        <f t="shared" si="95"/>
        <v>267.73</v>
      </c>
      <c r="G126" s="101">
        <f>47.57</f>
        <v>47.57</v>
      </c>
      <c r="H126" s="101">
        <f>34.22</f>
        <v>34.22</v>
      </c>
      <c r="I126" s="101">
        <f>34.23</f>
        <v>34.229999999999997</v>
      </c>
      <c r="J126" s="101">
        <f>41.62</f>
        <v>41.62</v>
      </c>
      <c r="K126" s="101">
        <f>34.21</f>
        <v>34.21</v>
      </c>
      <c r="L126" s="101">
        <f>41.67</f>
        <v>41.67</v>
      </c>
      <c r="M126" s="101">
        <f>34.21</f>
        <v>34.21</v>
      </c>
      <c r="N126" s="100">
        <f>VLOOKUP(B126,'Форма КП'!$B$17:$G$22,5,FALSE)</f>
        <v>0</v>
      </c>
      <c r="O126" s="100">
        <f>N126*F126</f>
        <v>0</v>
      </c>
      <c r="P126" s="100"/>
      <c r="Q126" s="100"/>
      <c r="R126" s="100">
        <f>N126</f>
        <v>0</v>
      </c>
      <c r="S126" s="100">
        <f>N126*F126</f>
        <v>0</v>
      </c>
    </row>
    <row r="127" spans="1:19" ht="24" x14ac:dyDescent="0.25">
      <c r="A127" s="121">
        <v>101</v>
      </c>
      <c r="B127" s="116" t="s">
        <v>179</v>
      </c>
      <c r="C127" s="122" t="s">
        <v>180</v>
      </c>
      <c r="D127" s="125">
        <v>1.03</v>
      </c>
      <c r="E127" s="123" t="s">
        <v>130</v>
      </c>
      <c r="F127" s="124">
        <f t="shared" si="95"/>
        <v>275.77999999999997</v>
      </c>
      <c r="G127" s="87">
        <f>G126*D127</f>
        <v>49</v>
      </c>
      <c r="H127" s="87">
        <f>H126*D127</f>
        <v>35.25</v>
      </c>
      <c r="I127" s="87">
        <f>I126*D127</f>
        <v>35.26</v>
      </c>
      <c r="J127" s="87">
        <f>J126*D127</f>
        <v>42.87</v>
      </c>
      <c r="K127" s="87">
        <f>K126*D127</f>
        <v>35.24</v>
      </c>
      <c r="L127" s="87">
        <f>L126*D127</f>
        <v>42.92</v>
      </c>
      <c r="M127" s="87">
        <f>M126*D127</f>
        <v>35.24</v>
      </c>
      <c r="N127" s="29"/>
      <c r="O127" s="29"/>
      <c r="P127" s="49" t="str">
        <f>VLOOKUP(B127,'Форма КП'!$B$24:$G$35,5,FALSE)</f>
        <v>Материал заказчика</v>
      </c>
      <c r="Q127" s="50"/>
      <c r="R127" s="49" t="str">
        <f t="shared" ref="R127" si="102">P127</f>
        <v>Материал заказчика</v>
      </c>
      <c r="S127" s="50"/>
    </row>
    <row r="128" spans="1:19" x14ac:dyDescent="0.25">
      <c r="A128" s="108" t="s">
        <v>143</v>
      </c>
      <c r="B128" s="109"/>
      <c r="C128" s="110"/>
      <c r="D128" s="111"/>
      <c r="E128" s="112"/>
      <c r="F128" s="113"/>
      <c r="G128" s="114"/>
      <c r="H128" s="114"/>
      <c r="I128" s="114"/>
      <c r="J128" s="114"/>
      <c r="K128" s="114"/>
      <c r="L128" s="114"/>
      <c r="M128" s="114"/>
      <c r="N128" s="33"/>
      <c r="O128" s="33"/>
      <c r="P128" s="33"/>
      <c r="Q128" s="33"/>
      <c r="R128" s="33"/>
      <c r="S128" s="31"/>
    </row>
    <row r="129" spans="1:19" ht="108" x14ac:dyDescent="0.25">
      <c r="A129" s="115">
        <v>102</v>
      </c>
      <c r="B129" s="116" t="s">
        <v>165</v>
      </c>
      <c r="C129" s="117" t="s">
        <v>187</v>
      </c>
      <c r="D129" s="118"/>
      <c r="E129" s="119" t="s">
        <v>130</v>
      </c>
      <c r="F129" s="120">
        <f t="shared" ref="F129:F136" si="103">SUM(G129:M129)</f>
        <v>103.17</v>
      </c>
      <c r="G129" s="103">
        <f>14.74</f>
        <v>14.74</v>
      </c>
      <c r="H129" s="103">
        <f>14.73</f>
        <v>14.73</v>
      </c>
      <c r="I129" s="103">
        <f>14.74</f>
        <v>14.74</v>
      </c>
      <c r="J129" s="103">
        <f>14.74</f>
        <v>14.74</v>
      </c>
      <c r="K129" s="103">
        <f>14.74</f>
        <v>14.74</v>
      </c>
      <c r="L129" s="103">
        <f>14.74</f>
        <v>14.74</v>
      </c>
      <c r="M129" s="103">
        <f>14.74</f>
        <v>14.74</v>
      </c>
      <c r="N129" s="100">
        <f>VLOOKUP(B129,'Форма КП'!$B$17:$G$22,5,FALSE)</f>
        <v>0</v>
      </c>
      <c r="O129" s="100">
        <f>N129*F129</f>
        <v>0</v>
      </c>
      <c r="P129" s="100"/>
      <c r="Q129" s="100"/>
      <c r="R129" s="100">
        <f>N129</f>
        <v>0</v>
      </c>
      <c r="S129" s="100">
        <f>N129*F129</f>
        <v>0</v>
      </c>
    </row>
    <row r="130" spans="1:19" ht="24" x14ac:dyDescent="0.25">
      <c r="A130" s="121">
        <v>103</v>
      </c>
      <c r="B130" s="116" t="s">
        <v>170</v>
      </c>
      <c r="C130" s="122" t="s">
        <v>171</v>
      </c>
      <c r="D130" s="125">
        <v>0.25</v>
      </c>
      <c r="E130" s="123" t="s">
        <v>132</v>
      </c>
      <c r="F130" s="124">
        <f t="shared" si="103"/>
        <v>25.82</v>
      </c>
      <c r="G130" s="87">
        <f>G129*D130</f>
        <v>3.69</v>
      </c>
      <c r="H130" s="87">
        <f>H129*D130</f>
        <v>3.68</v>
      </c>
      <c r="I130" s="87">
        <f>I129*D130</f>
        <v>3.69</v>
      </c>
      <c r="J130" s="87">
        <f>J129*D130</f>
        <v>3.69</v>
      </c>
      <c r="K130" s="87">
        <f>K129*D130</f>
        <v>3.69</v>
      </c>
      <c r="L130" s="87">
        <f>L129*D130</f>
        <v>3.69</v>
      </c>
      <c r="M130" s="87">
        <f>M129*D130</f>
        <v>3.69</v>
      </c>
      <c r="N130" s="29"/>
      <c r="O130" s="29"/>
      <c r="P130" s="49" t="str">
        <f>VLOOKUP(B130,'Форма КП'!$B$24:$G$35,5,FALSE)</f>
        <v>Материал заказчика</v>
      </c>
      <c r="Q130" s="50"/>
      <c r="R130" s="49" t="str">
        <f t="shared" ref="R130:R131" si="104">P130</f>
        <v>Материал заказчика</v>
      </c>
      <c r="S130" s="50"/>
    </row>
    <row r="131" spans="1:19" x14ac:dyDescent="0.25">
      <c r="A131" s="121">
        <v>104</v>
      </c>
      <c r="B131" s="116" t="s">
        <v>164</v>
      </c>
      <c r="C131" s="122" t="s">
        <v>131</v>
      </c>
      <c r="D131" s="125">
        <v>0.15</v>
      </c>
      <c r="E131" s="123" t="s">
        <v>132</v>
      </c>
      <c r="F131" s="124">
        <f t="shared" si="103"/>
        <v>15.47</v>
      </c>
      <c r="G131" s="87">
        <f>G129*D131</f>
        <v>2.21</v>
      </c>
      <c r="H131" s="87">
        <f>H129*D131</f>
        <v>2.21</v>
      </c>
      <c r="I131" s="87">
        <f>I129*D131</f>
        <v>2.21</v>
      </c>
      <c r="J131" s="87">
        <f>J129*D131</f>
        <v>2.21</v>
      </c>
      <c r="K131" s="87">
        <f>K129*D131</f>
        <v>2.21</v>
      </c>
      <c r="L131" s="87">
        <f>L129*D131</f>
        <v>2.21</v>
      </c>
      <c r="M131" s="87">
        <f>M129*D131</f>
        <v>2.21</v>
      </c>
      <c r="N131" s="29"/>
      <c r="O131" s="29"/>
      <c r="P131" s="85">
        <f>VLOOKUP(B131,'Форма КП'!$B$24:$G$35,5,FALSE)</f>
        <v>0</v>
      </c>
      <c r="Q131" s="85">
        <f t="shared" ref="Q131" si="105">P131*F131</f>
        <v>0</v>
      </c>
      <c r="R131" s="32">
        <f t="shared" si="104"/>
        <v>0</v>
      </c>
      <c r="S131" s="32">
        <f t="shared" ref="S131" si="106">P131*F131</f>
        <v>0</v>
      </c>
    </row>
    <row r="132" spans="1:19" ht="108" x14ac:dyDescent="0.25">
      <c r="A132" s="115">
        <v>105</v>
      </c>
      <c r="B132" s="116" t="s">
        <v>165</v>
      </c>
      <c r="C132" s="117" t="s">
        <v>187</v>
      </c>
      <c r="D132" s="118"/>
      <c r="E132" s="119" t="s">
        <v>130</v>
      </c>
      <c r="F132" s="120">
        <f t="shared" si="103"/>
        <v>267.73</v>
      </c>
      <c r="G132" s="101">
        <v>47.57</v>
      </c>
      <c r="H132" s="101">
        <v>34.22</v>
      </c>
      <c r="I132" s="101">
        <v>34.229999999999997</v>
      </c>
      <c r="J132" s="101">
        <v>41.62</v>
      </c>
      <c r="K132" s="101">
        <v>34.21</v>
      </c>
      <c r="L132" s="101">
        <v>41.67</v>
      </c>
      <c r="M132" s="101">
        <v>34.21</v>
      </c>
      <c r="N132" s="100">
        <f>VLOOKUP(B132,'Форма КП'!$B$17:$G$22,5,FALSE)</f>
        <v>0</v>
      </c>
      <c r="O132" s="100">
        <f>N132*F132</f>
        <v>0</v>
      </c>
      <c r="P132" s="100"/>
      <c r="Q132" s="100"/>
      <c r="R132" s="100">
        <f>N132</f>
        <v>0</v>
      </c>
      <c r="S132" s="100">
        <f>N132*F132</f>
        <v>0</v>
      </c>
    </row>
    <row r="133" spans="1:19" ht="24" x14ac:dyDescent="0.25">
      <c r="A133" s="121">
        <v>106</v>
      </c>
      <c r="B133" s="116" t="s">
        <v>168</v>
      </c>
      <c r="C133" s="122" t="s">
        <v>169</v>
      </c>
      <c r="D133" s="125">
        <v>0.25</v>
      </c>
      <c r="E133" s="123" t="s">
        <v>132</v>
      </c>
      <c r="F133" s="124">
        <f t="shared" si="103"/>
        <v>66.94</v>
      </c>
      <c r="G133" s="87">
        <f>G132*D133</f>
        <v>11.89</v>
      </c>
      <c r="H133" s="87">
        <f>H132*D133</f>
        <v>8.56</v>
      </c>
      <c r="I133" s="87">
        <f>I132*D133</f>
        <v>8.56</v>
      </c>
      <c r="J133" s="87">
        <f>J132*D133</f>
        <v>10.41</v>
      </c>
      <c r="K133" s="87">
        <f>K132*D133</f>
        <v>8.5500000000000007</v>
      </c>
      <c r="L133" s="87">
        <f>L132*D133</f>
        <v>10.42</v>
      </c>
      <c r="M133" s="87">
        <f>M132*D133</f>
        <v>8.5500000000000007</v>
      </c>
      <c r="N133" s="29"/>
      <c r="O133" s="29"/>
      <c r="P133" s="49" t="str">
        <f>VLOOKUP(B133,'Форма КП'!$B$24:$G$35,5,FALSE)</f>
        <v>Материал заказчика</v>
      </c>
      <c r="Q133" s="50"/>
      <c r="R133" s="49" t="str">
        <f t="shared" ref="R133:R134" si="107">P133</f>
        <v>Материал заказчика</v>
      </c>
      <c r="S133" s="50"/>
    </row>
    <row r="134" spans="1:19" x14ac:dyDescent="0.25">
      <c r="A134" s="121">
        <v>107</v>
      </c>
      <c r="B134" s="116" t="s">
        <v>164</v>
      </c>
      <c r="C134" s="122" t="s">
        <v>131</v>
      </c>
      <c r="D134" s="125">
        <v>0.15</v>
      </c>
      <c r="E134" s="123" t="s">
        <v>132</v>
      </c>
      <c r="F134" s="124">
        <f t="shared" si="103"/>
        <v>40.15</v>
      </c>
      <c r="G134" s="87">
        <f>G132*D134</f>
        <v>7.14</v>
      </c>
      <c r="H134" s="87">
        <f>H132*D134</f>
        <v>5.13</v>
      </c>
      <c r="I134" s="87">
        <f>I132*D134</f>
        <v>5.13</v>
      </c>
      <c r="J134" s="87">
        <f>J132*D134</f>
        <v>6.24</v>
      </c>
      <c r="K134" s="87">
        <f>K132*D134</f>
        <v>5.13</v>
      </c>
      <c r="L134" s="87">
        <f>L132*D134</f>
        <v>6.25</v>
      </c>
      <c r="M134" s="87">
        <f>M132*D134</f>
        <v>5.13</v>
      </c>
      <c r="N134" s="29"/>
      <c r="O134" s="29"/>
      <c r="P134" s="85">
        <f>VLOOKUP(B134,'Форма КП'!$B$24:$G$35,5,FALSE)</f>
        <v>0</v>
      </c>
      <c r="Q134" s="85">
        <f t="shared" ref="Q134" si="108">P134*F134</f>
        <v>0</v>
      </c>
      <c r="R134" s="32">
        <f t="shared" si="107"/>
        <v>0</v>
      </c>
      <c r="S134" s="32">
        <f t="shared" ref="S134" si="109">P134*F134</f>
        <v>0</v>
      </c>
    </row>
    <row r="135" spans="1:19" ht="144" x14ac:dyDescent="0.25">
      <c r="A135" s="115">
        <v>108</v>
      </c>
      <c r="B135" s="116" t="s">
        <v>178</v>
      </c>
      <c r="C135" s="117" t="s">
        <v>184</v>
      </c>
      <c r="D135" s="118"/>
      <c r="E135" s="119" t="s">
        <v>130</v>
      </c>
      <c r="F135" s="120">
        <f t="shared" si="103"/>
        <v>267.73</v>
      </c>
      <c r="G135" s="101">
        <f>47.57</f>
        <v>47.57</v>
      </c>
      <c r="H135" s="101">
        <f>34.22</f>
        <v>34.22</v>
      </c>
      <c r="I135" s="101">
        <f>34.23</f>
        <v>34.229999999999997</v>
      </c>
      <c r="J135" s="101">
        <f>41.62</f>
        <v>41.62</v>
      </c>
      <c r="K135" s="101">
        <f>34.21</f>
        <v>34.21</v>
      </c>
      <c r="L135" s="101">
        <f>41.67</f>
        <v>41.67</v>
      </c>
      <c r="M135" s="101">
        <f>34.21</f>
        <v>34.21</v>
      </c>
      <c r="N135" s="100">
        <f>VLOOKUP(B135,'Форма КП'!$B$17:$G$22,5,FALSE)</f>
        <v>0</v>
      </c>
      <c r="O135" s="100">
        <f>N135*F135</f>
        <v>0</v>
      </c>
      <c r="P135" s="100"/>
      <c r="Q135" s="100"/>
      <c r="R135" s="100">
        <f>N135</f>
        <v>0</v>
      </c>
      <c r="S135" s="100">
        <f>N135*F135</f>
        <v>0</v>
      </c>
    </row>
    <row r="136" spans="1:19" ht="24" x14ac:dyDescent="0.25">
      <c r="A136" s="121">
        <v>109</v>
      </c>
      <c r="B136" s="116" t="s">
        <v>179</v>
      </c>
      <c r="C136" s="122" t="s">
        <v>180</v>
      </c>
      <c r="D136" s="125">
        <v>1.03</v>
      </c>
      <c r="E136" s="123" t="s">
        <v>130</v>
      </c>
      <c r="F136" s="124">
        <f t="shared" si="103"/>
        <v>275.77999999999997</v>
      </c>
      <c r="G136" s="87">
        <f>G135*D136</f>
        <v>49</v>
      </c>
      <c r="H136" s="87">
        <f>H135*D136</f>
        <v>35.25</v>
      </c>
      <c r="I136" s="87">
        <f>I135*D136</f>
        <v>35.26</v>
      </c>
      <c r="J136" s="87">
        <f>J135*D136</f>
        <v>42.87</v>
      </c>
      <c r="K136" s="87">
        <f>K135*D136</f>
        <v>35.24</v>
      </c>
      <c r="L136" s="87">
        <f>L135*D136</f>
        <v>42.92</v>
      </c>
      <c r="M136" s="87">
        <f>M135*D136</f>
        <v>35.24</v>
      </c>
      <c r="N136" s="29"/>
      <c r="O136" s="29"/>
      <c r="P136" s="49" t="str">
        <f>VLOOKUP(B136,'Форма КП'!$B$24:$G$35,5,FALSE)</f>
        <v>Материал заказчика</v>
      </c>
      <c r="Q136" s="50"/>
      <c r="R136" s="49" t="str">
        <f t="shared" ref="R136" si="110">P136</f>
        <v>Материал заказчика</v>
      </c>
      <c r="S136" s="50"/>
    </row>
    <row r="137" spans="1:19" x14ac:dyDescent="0.25">
      <c r="A137" s="108" t="s">
        <v>144</v>
      </c>
      <c r="B137" s="109"/>
      <c r="C137" s="110"/>
      <c r="D137" s="111"/>
      <c r="E137" s="112"/>
      <c r="F137" s="113"/>
      <c r="G137" s="114"/>
      <c r="H137" s="114"/>
      <c r="I137" s="114"/>
      <c r="J137" s="114"/>
      <c r="K137" s="114"/>
      <c r="L137" s="114"/>
      <c r="M137" s="114"/>
      <c r="N137" s="33"/>
      <c r="O137" s="33"/>
      <c r="P137" s="33"/>
      <c r="Q137" s="33"/>
      <c r="R137" s="33"/>
      <c r="S137" s="31"/>
    </row>
    <row r="138" spans="1:19" ht="108" x14ac:dyDescent="0.25">
      <c r="A138" s="115">
        <v>110</v>
      </c>
      <c r="B138" s="116" t="s">
        <v>165</v>
      </c>
      <c r="C138" s="117" t="s">
        <v>187</v>
      </c>
      <c r="D138" s="118"/>
      <c r="E138" s="119" t="s">
        <v>130</v>
      </c>
      <c r="F138" s="120">
        <f t="shared" ref="F138:F145" si="111">SUM(G138:M138)</f>
        <v>58.95</v>
      </c>
      <c r="G138" s="103">
        <f>14.74</f>
        <v>14.74</v>
      </c>
      <c r="H138" s="103">
        <f>14.73</f>
        <v>14.73</v>
      </c>
      <c r="I138" s="103">
        <f>14.74</f>
        <v>14.74</v>
      </c>
      <c r="J138" s="103">
        <f>14.74</f>
        <v>14.74</v>
      </c>
      <c r="K138" s="103"/>
      <c r="L138" s="103"/>
      <c r="M138" s="103"/>
      <c r="N138" s="100">
        <f>VLOOKUP(B138,'Форма КП'!$B$17:$G$22,5,FALSE)</f>
        <v>0</v>
      </c>
      <c r="O138" s="100">
        <f>N138*F138</f>
        <v>0</v>
      </c>
      <c r="P138" s="100"/>
      <c r="Q138" s="100"/>
      <c r="R138" s="100">
        <f>N138</f>
        <v>0</v>
      </c>
      <c r="S138" s="100">
        <f>N138*F138</f>
        <v>0</v>
      </c>
    </row>
    <row r="139" spans="1:19" ht="24" x14ac:dyDescent="0.25">
      <c r="A139" s="121">
        <v>111</v>
      </c>
      <c r="B139" s="116" t="s">
        <v>170</v>
      </c>
      <c r="C139" s="122" t="s">
        <v>171</v>
      </c>
      <c r="D139" s="125">
        <v>0.25</v>
      </c>
      <c r="E139" s="123" t="s">
        <v>132</v>
      </c>
      <c r="F139" s="124">
        <f t="shared" si="111"/>
        <v>14.75</v>
      </c>
      <c r="G139" s="87">
        <f>G138*D139</f>
        <v>3.69</v>
      </c>
      <c r="H139" s="87">
        <f>H138*D139</f>
        <v>3.68</v>
      </c>
      <c r="I139" s="87">
        <f>I138*D139</f>
        <v>3.69</v>
      </c>
      <c r="J139" s="87">
        <f>J138*D139</f>
        <v>3.69</v>
      </c>
      <c r="K139" s="87"/>
      <c r="L139" s="87"/>
      <c r="M139" s="87"/>
      <c r="N139" s="29"/>
      <c r="O139" s="29"/>
      <c r="P139" s="49" t="str">
        <f>VLOOKUP(B139,'Форма КП'!$B$24:$G$35,5,FALSE)</f>
        <v>Материал заказчика</v>
      </c>
      <c r="Q139" s="50"/>
      <c r="R139" s="49" t="str">
        <f t="shared" ref="R139:R140" si="112">P139</f>
        <v>Материал заказчика</v>
      </c>
      <c r="S139" s="50"/>
    </row>
    <row r="140" spans="1:19" x14ac:dyDescent="0.25">
      <c r="A140" s="121">
        <v>112</v>
      </c>
      <c r="B140" s="116" t="s">
        <v>164</v>
      </c>
      <c r="C140" s="122" t="s">
        <v>131</v>
      </c>
      <c r="D140" s="125">
        <v>0.15</v>
      </c>
      <c r="E140" s="123" t="s">
        <v>132</v>
      </c>
      <c r="F140" s="124">
        <f t="shared" si="111"/>
        <v>8.84</v>
      </c>
      <c r="G140" s="87">
        <f>G138*D140</f>
        <v>2.21</v>
      </c>
      <c r="H140" s="87">
        <f>H138*D140</f>
        <v>2.21</v>
      </c>
      <c r="I140" s="87">
        <f>I138*D140</f>
        <v>2.21</v>
      </c>
      <c r="J140" s="87">
        <f>J138*D140</f>
        <v>2.21</v>
      </c>
      <c r="K140" s="87"/>
      <c r="L140" s="87"/>
      <c r="M140" s="87"/>
      <c r="N140" s="29"/>
      <c r="O140" s="29"/>
      <c r="P140" s="85">
        <f>VLOOKUP(B140,'Форма КП'!$B$24:$G$35,5,FALSE)</f>
        <v>0</v>
      </c>
      <c r="Q140" s="85">
        <f t="shared" ref="Q140" si="113">P140*F140</f>
        <v>0</v>
      </c>
      <c r="R140" s="32">
        <f t="shared" si="112"/>
        <v>0</v>
      </c>
      <c r="S140" s="32">
        <f t="shared" ref="S140" si="114">P140*F140</f>
        <v>0</v>
      </c>
    </row>
    <row r="141" spans="1:19" ht="108" x14ac:dyDescent="0.25">
      <c r="A141" s="115">
        <v>113</v>
      </c>
      <c r="B141" s="116" t="s">
        <v>165</v>
      </c>
      <c r="C141" s="117" t="s">
        <v>187</v>
      </c>
      <c r="D141" s="118"/>
      <c r="E141" s="119" t="s">
        <v>130</v>
      </c>
      <c r="F141" s="120">
        <f t="shared" si="111"/>
        <v>157.63999999999999</v>
      </c>
      <c r="G141" s="101">
        <v>47.57</v>
      </c>
      <c r="H141" s="101">
        <v>34.22</v>
      </c>
      <c r="I141" s="101">
        <v>34.229999999999997</v>
      </c>
      <c r="J141" s="101">
        <v>41.62</v>
      </c>
      <c r="K141" s="101"/>
      <c r="L141" s="101"/>
      <c r="M141" s="101"/>
      <c r="N141" s="100">
        <f>VLOOKUP(B141,'Форма КП'!$B$17:$G$22,5,FALSE)</f>
        <v>0</v>
      </c>
      <c r="O141" s="100">
        <f>N141*F141</f>
        <v>0</v>
      </c>
      <c r="P141" s="100"/>
      <c r="Q141" s="100"/>
      <c r="R141" s="100">
        <f>N141</f>
        <v>0</v>
      </c>
      <c r="S141" s="100">
        <f>N141*F141</f>
        <v>0</v>
      </c>
    </row>
    <row r="142" spans="1:19" ht="24" x14ac:dyDescent="0.25">
      <c r="A142" s="121">
        <v>114</v>
      </c>
      <c r="B142" s="116" t="s">
        <v>168</v>
      </c>
      <c r="C142" s="122" t="s">
        <v>169</v>
      </c>
      <c r="D142" s="125">
        <v>0.25</v>
      </c>
      <c r="E142" s="123" t="s">
        <v>132</v>
      </c>
      <c r="F142" s="124">
        <f t="shared" si="111"/>
        <v>39.42</v>
      </c>
      <c r="G142" s="87">
        <f>G141*D142</f>
        <v>11.89</v>
      </c>
      <c r="H142" s="87">
        <f>H141*D142</f>
        <v>8.56</v>
      </c>
      <c r="I142" s="87">
        <f>I141*D142</f>
        <v>8.56</v>
      </c>
      <c r="J142" s="87">
        <f>J141*D142</f>
        <v>10.41</v>
      </c>
      <c r="K142" s="87"/>
      <c r="L142" s="87"/>
      <c r="M142" s="87"/>
      <c r="N142" s="29"/>
      <c r="O142" s="29"/>
      <c r="P142" s="49" t="str">
        <f>VLOOKUP(B142,'Форма КП'!$B$24:$G$35,5,FALSE)</f>
        <v>Материал заказчика</v>
      </c>
      <c r="Q142" s="50"/>
      <c r="R142" s="49" t="str">
        <f t="shared" ref="R142:R143" si="115">P142</f>
        <v>Материал заказчика</v>
      </c>
      <c r="S142" s="50"/>
    </row>
    <row r="143" spans="1:19" x14ac:dyDescent="0.25">
      <c r="A143" s="121">
        <v>115</v>
      </c>
      <c r="B143" s="116" t="s">
        <v>164</v>
      </c>
      <c r="C143" s="122" t="s">
        <v>131</v>
      </c>
      <c r="D143" s="125">
        <v>0.15</v>
      </c>
      <c r="E143" s="123" t="s">
        <v>132</v>
      </c>
      <c r="F143" s="124">
        <f t="shared" si="111"/>
        <v>23.64</v>
      </c>
      <c r="G143" s="87">
        <f>G141*D143</f>
        <v>7.14</v>
      </c>
      <c r="H143" s="87">
        <f>H141*D143</f>
        <v>5.13</v>
      </c>
      <c r="I143" s="87">
        <f>I141*D143</f>
        <v>5.13</v>
      </c>
      <c r="J143" s="87">
        <f>J141*D143</f>
        <v>6.24</v>
      </c>
      <c r="K143" s="87"/>
      <c r="L143" s="87"/>
      <c r="M143" s="87"/>
      <c r="N143" s="29"/>
      <c r="O143" s="29"/>
      <c r="P143" s="85">
        <f>VLOOKUP(B143,'Форма КП'!$B$24:$G$35,5,FALSE)</f>
        <v>0</v>
      </c>
      <c r="Q143" s="85">
        <f t="shared" ref="Q143" si="116">P143*F143</f>
        <v>0</v>
      </c>
      <c r="R143" s="32">
        <f t="shared" si="115"/>
        <v>0</v>
      </c>
      <c r="S143" s="32">
        <f t="shared" ref="S143" si="117">P143*F143</f>
        <v>0</v>
      </c>
    </row>
    <row r="144" spans="1:19" ht="144" x14ac:dyDescent="0.25">
      <c r="A144" s="115">
        <v>116</v>
      </c>
      <c r="B144" s="116" t="s">
        <v>178</v>
      </c>
      <c r="C144" s="117" t="s">
        <v>184</v>
      </c>
      <c r="D144" s="118"/>
      <c r="E144" s="119" t="s">
        <v>130</v>
      </c>
      <c r="F144" s="120">
        <f t="shared" si="111"/>
        <v>157.63999999999999</v>
      </c>
      <c r="G144" s="101">
        <f>47.57</f>
        <v>47.57</v>
      </c>
      <c r="H144" s="101">
        <f>34.22</f>
        <v>34.22</v>
      </c>
      <c r="I144" s="101">
        <f>34.23</f>
        <v>34.229999999999997</v>
      </c>
      <c r="J144" s="101">
        <f>41.62</f>
        <v>41.62</v>
      </c>
      <c r="K144" s="101"/>
      <c r="L144" s="101"/>
      <c r="M144" s="101"/>
      <c r="N144" s="100">
        <f>VLOOKUP(B144,'Форма КП'!$B$17:$G$22,5,FALSE)</f>
        <v>0</v>
      </c>
      <c r="O144" s="100">
        <f>N144*F144</f>
        <v>0</v>
      </c>
      <c r="P144" s="100"/>
      <c r="Q144" s="100"/>
      <c r="R144" s="100">
        <f>N144</f>
        <v>0</v>
      </c>
      <c r="S144" s="100">
        <f>N144*F144</f>
        <v>0</v>
      </c>
    </row>
    <row r="145" spans="1:19" ht="24" x14ac:dyDescent="0.25">
      <c r="A145" s="121">
        <v>117</v>
      </c>
      <c r="B145" s="116" t="s">
        <v>179</v>
      </c>
      <c r="C145" s="122" t="s">
        <v>180</v>
      </c>
      <c r="D145" s="125">
        <v>1.03</v>
      </c>
      <c r="E145" s="123" t="s">
        <v>130</v>
      </c>
      <c r="F145" s="124">
        <f t="shared" si="111"/>
        <v>162.38</v>
      </c>
      <c r="G145" s="87">
        <f>G144*D145</f>
        <v>49</v>
      </c>
      <c r="H145" s="87">
        <f>H144*D145</f>
        <v>35.25</v>
      </c>
      <c r="I145" s="87">
        <f>I144*D145</f>
        <v>35.26</v>
      </c>
      <c r="J145" s="87">
        <f>J144*D145</f>
        <v>42.87</v>
      </c>
      <c r="K145" s="87"/>
      <c r="L145" s="87"/>
      <c r="M145" s="87"/>
      <c r="N145" s="29"/>
      <c r="O145" s="29"/>
      <c r="P145" s="49" t="str">
        <f>VLOOKUP(B145,'Форма КП'!$B$24:$G$35,5,FALSE)</f>
        <v>Материал заказчика</v>
      </c>
      <c r="Q145" s="50"/>
      <c r="R145" s="49" t="str">
        <f t="shared" ref="R145" si="118">P145</f>
        <v>Материал заказчика</v>
      </c>
      <c r="S145" s="50"/>
    </row>
    <row r="146" spans="1:19" x14ac:dyDescent="0.25">
      <c r="A146" s="108" t="s">
        <v>145</v>
      </c>
      <c r="B146" s="109"/>
      <c r="C146" s="110"/>
      <c r="D146" s="111"/>
      <c r="E146" s="112"/>
      <c r="F146" s="113"/>
      <c r="G146" s="114"/>
      <c r="H146" s="114"/>
      <c r="I146" s="114"/>
      <c r="J146" s="114"/>
      <c r="K146" s="114"/>
      <c r="L146" s="114"/>
      <c r="M146" s="114"/>
      <c r="N146" s="33"/>
      <c r="O146" s="33"/>
      <c r="P146" s="33"/>
      <c r="Q146" s="33"/>
      <c r="R146" s="33"/>
      <c r="S146" s="31"/>
    </row>
    <row r="147" spans="1:19" ht="108" x14ac:dyDescent="0.25">
      <c r="A147" s="115">
        <v>118</v>
      </c>
      <c r="B147" s="116" t="s">
        <v>165</v>
      </c>
      <c r="C147" s="117" t="s">
        <v>187</v>
      </c>
      <c r="D147" s="118"/>
      <c r="E147" s="119" t="s">
        <v>130</v>
      </c>
      <c r="F147" s="120">
        <f t="shared" ref="F147:F154" si="119">SUM(G147:M147)</f>
        <v>58.95</v>
      </c>
      <c r="G147" s="103">
        <f>14.74</f>
        <v>14.74</v>
      </c>
      <c r="H147" s="103">
        <f>14.73</f>
        <v>14.73</v>
      </c>
      <c r="I147" s="103">
        <f>14.74</f>
        <v>14.74</v>
      </c>
      <c r="J147" s="103">
        <f>14.74</f>
        <v>14.74</v>
      </c>
      <c r="K147" s="103"/>
      <c r="L147" s="103"/>
      <c r="M147" s="103"/>
      <c r="N147" s="100">
        <f>VLOOKUP(B147,'Форма КП'!$B$17:$G$22,5,FALSE)</f>
        <v>0</v>
      </c>
      <c r="O147" s="100">
        <f>N147*F147</f>
        <v>0</v>
      </c>
      <c r="P147" s="100"/>
      <c r="Q147" s="100"/>
      <c r="R147" s="100">
        <f>N147</f>
        <v>0</v>
      </c>
      <c r="S147" s="100">
        <f>N147*F147</f>
        <v>0</v>
      </c>
    </row>
    <row r="148" spans="1:19" ht="24" x14ac:dyDescent="0.25">
      <c r="A148" s="121">
        <v>119</v>
      </c>
      <c r="B148" s="116" t="s">
        <v>170</v>
      </c>
      <c r="C148" s="122" t="s">
        <v>171</v>
      </c>
      <c r="D148" s="125">
        <v>0.25</v>
      </c>
      <c r="E148" s="123" t="s">
        <v>132</v>
      </c>
      <c r="F148" s="124">
        <f t="shared" si="119"/>
        <v>14.75</v>
      </c>
      <c r="G148" s="87">
        <f>G147*D148</f>
        <v>3.69</v>
      </c>
      <c r="H148" s="87">
        <f>H147*D148</f>
        <v>3.68</v>
      </c>
      <c r="I148" s="87">
        <f>I147*D148</f>
        <v>3.69</v>
      </c>
      <c r="J148" s="87">
        <f>J147*D148</f>
        <v>3.69</v>
      </c>
      <c r="K148" s="87"/>
      <c r="L148" s="87"/>
      <c r="M148" s="87"/>
      <c r="N148" s="29"/>
      <c r="O148" s="29"/>
      <c r="P148" s="49" t="str">
        <f>VLOOKUP(B148,'Форма КП'!$B$24:$G$35,5,FALSE)</f>
        <v>Материал заказчика</v>
      </c>
      <c r="Q148" s="50"/>
      <c r="R148" s="49" t="str">
        <f t="shared" ref="R148:R149" si="120">P148</f>
        <v>Материал заказчика</v>
      </c>
      <c r="S148" s="50"/>
    </row>
    <row r="149" spans="1:19" x14ac:dyDescent="0.25">
      <c r="A149" s="121">
        <v>120</v>
      </c>
      <c r="B149" s="116" t="s">
        <v>164</v>
      </c>
      <c r="C149" s="122" t="s">
        <v>131</v>
      </c>
      <c r="D149" s="125">
        <v>0.15</v>
      </c>
      <c r="E149" s="123" t="s">
        <v>132</v>
      </c>
      <c r="F149" s="124">
        <f t="shared" si="119"/>
        <v>8.84</v>
      </c>
      <c r="G149" s="87">
        <f>G147*D149</f>
        <v>2.21</v>
      </c>
      <c r="H149" s="87">
        <f>H147*D149</f>
        <v>2.21</v>
      </c>
      <c r="I149" s="87">
        <f>I147*D149</f>
        <v>2.21</v>
      </c>
      <c r="J149" s="87">
        <f>J147*D149</f>
        <v>2.21</v>
      </c>
      <c r="K149" s="87"/>
      <c r="L149" s="87"/>
      <c r="M149" s="87"/>
      <c r="N149" s="29"/>
      <c r="O149" s="29"/>
      <c r="P149" s="85">
        <f>VLOOKUP(B149,'Форма КП'!$B$24:$G$35,5,FALSE)</f>
        <v>0</v>
      </c>
      <c r="Q149" s="85">
        <f t="shared" ref="Q149" si="121">P149*F149</f>
        <v>0</v>
      </c>
      <c r="R149" s="32">
        <f t="shared" si="120"/>
        <v>0</v>
      </c>
      <c r="S149" s="32">
        <f t="shared" ref="S149" si="122">P149*F149</f>
        <v>0</v>
      </c>
    </row>
    <row r="150" spans="1:19" ht="108" x14ac:dyDescent="0.25">
      <c r="A150" s="115">
        <v>121</v>
      </c>
      <c r="B150" s="116" t="s">
        <v>165</v>
      </c>
      <c r="C150" s="117" t="s">
        <v>187</v>
      </c>
      <c r="D150" s="118"/>
      <c r="E150" s="119" t="s">
        <v>130</v>
      </c>
      <c r="F150" s="120">
        <f t="shared" si="119"/>
        <v>157.63999999999999</v>
      </c>
      <c r="G150" s="101">
        <v>47.57</v>
      </c>
      <c r="H150" s="101">
        <v>34.22</v>
      </c>
      <c r="I150" s="101">
        <v>34.229999999999997</v>
      </c>
      <c r="J150" s="101">
        <v>41.62</v>
      </c>
      <c r="K150" s="101"/>
      <c r="L150" s="101"/>
      <c r="M150" s="101"/>
      <c r="N150" s="100">
        <f>VLOOKUP(B150,'Форма КП'!$B$17:$G$22,5,FALSE)</f>
        <v>0</v>
      </c>
      <c r="O150" s="100">
        <f>N150*F150</f>
        <v>0</v>
      </c>
      <c r="P150" s="100"/>
      <c r="Q150" s="100"/>
      <c r="R150" s="100">
        <f>N150</f>
        <v>0</v>
      </c>
      <c r="S150" s="100">
        <f>N150*F150</f>
        <v>0</v>
      </c>
    </row>
    <row r="151" spans="1:19" ht="24" x14ac:dyDescent="0.25">
      <c r="A151" s="121">
        <v>122</v>
      </c>
      <c r="B151" s="116" t="s">
        <v>168</v>
      </c>
      <c r="C151" s="122" t="s">
        <v>169</v>
      </c>
      <c r="D151" s="125">
        <v>0.25</v>
      </c>
      <c r="E151" s="123" t="s">
        <v>132</v>
      </c>
      <c r="F151" s="124">
        <f t="shared" si="119"/>
        <v>39.42</v>
      </c>
      <c r="G151" s="87">
        <f>G150*D151</f>
        <v>11.89</v>
      </c>
      <c r="H151" s="87">
        <f>H150*D151</f>
        <v>8.56</v>
      </c>
      <c r="I151" s="87">
        <f>I150*D151</f>
        <v>8.56</v>
      </c>
      <c r="J151" s="87">
        <f>J150*D151</f>
        <v>10.41</v>
      </c>
      <c r="K151" s="87"/>
      <c r="L151" s="87"/>
      <c r="M151" s="87"/>
      <c r="N151" s="29"/>
      <c r="O151" s="29"/>
      <c r="P151" s="49" t="str">
        <f>VLOOKUP(B151,'Форма КП'!$B$24:$G$35,5,FALSE)</f>
        <v>Материал заказчика</v>
      </c>
      <c r="Q151" s="50"/>
      <c r="R151" s="49" t="str">
        <f t="shared" ref="R151:R152" si="123">P151</f>
        <v>Материал заказчика</v>
      </c>
      <c r="S151" s="50"/>
    </row>
    <row r="152" spans="1:19" x14ac:dyDescent="0.25">
      <c r="A152" s="121">
        <v>123</v>
      </c>
      <c r="B152" s="116" t="s">
        <v>164</v>
      </c>
      <c r="C152" s="122" t="s">
        <v>131</v>
      </c>
      <c r="D152" s="125">
        <v>0.15</v>
      </c>
      <c r="E152" s="123" t="s">
        <v>132</v>
      </c>
      <c r="F152" s="124">
        <f t="shared" si="119"/>
        <v>23.64</v>
      </c>
      <c r="G152" s="87">
        <f>G150*D152</f>
        <v>7.14</v>
      </c>
      <c r="H152" s="87">
        <f>H150*D152</f>
        <v>5.13</v>
      </c>
      <c r="I152" s="87">
        <f>I150*D152</f>
        <v>5.13</v>
      </c>
      <c r="J152" s="87">
        <f>J150*D152</f>
        <v>6.24</v>
      </c>
      <c r="K152" s="87"/>
      <c r="L152" s="87"/>
      <c r="M152" s="87"/>
      <c r="N152" s="29"/>
      <c r="O152" s="29"/>
      <c r="P152" s="85">
        <f>VLOOKUP(B152,'Форма КП'!$B$24:$G$35,5,FALSE)</f>
        <v>0</v>
      </c>
      <c r="Q152" s="85">
        <f t="shared" ref="Q152" si="124">P152*F152</f>
        <v>0</v>
      </c>
      <c r="R152" s="32">
        <f t="shared" si="123"/>
        <v>0</v>
      </c>
      <c r="S152" s="32">
        <f t="shared" ref="S152" si="125">P152*F152</f>
        <v>0</v>
      </c>
    </row>
    <row r="153" spans="1:19" ht="144" x14ac:dyDescent="0.25">
      <c r="A153" s="115">
        <v>124</v>
      </c>
      <c r="B153" s="116" t="s">
        <v>178</v>
      </c>
      <c r="C153" s="117" t="s">
        <v>184</v>
      </c>
      <c r="D153" s="118"/>
      <c r="E153" s="119" t="s">
        <v>130</v>
      </c>
      <c r="F153" s="120">
        <f t="shared" si="119"/>
        <v>157.63999999999999</v>
      </c>
      <c r="G153" s="101">
        <f>47.57</f>
        <v>47.57</v>
      </c>
      <c r="H153" s="101">
        <f>34.22</f>
        <v>34.22</v>
      </c>
      <c r="I153" s="101">
        <f>34.23</f>
        <v>34.229999999999997</v>
      </c>
      <c r="J153" s="101">
        <f>41.62</f>
        <v>41.62</v>
      </c>
      <c r="K153" s="101"/>
      <c r="L153" s="101"/>
      <c r="M153" s="101"/>
      <c r="N153" s="100">
        <f>VLOOKUP(B153,'Форма КП'!$B$17:$G$22,5,FALSE)</f>
        <v>0</v>
      </c>
      <c r="O153" s="100">
        <f>N153*F153</f>
        <v>0</v>
      </c>
      <c r="P153" s="100"/>
      <c r="Q153" s="100"/>
      <c r="R153" s="100">
        <f>N153</f>
        <v>0</v>
      </c>
      <c r="S153" s="100">
        <f>N153*F153</f>
        <v>0</v>
      </c>
    </row>
    <row r="154" spans="1:19" ht="24" x14ac:dyDescent="0.25">
      <c r="A154" s="121">
        <v>125</v>
      </c>
      <c r="B154" s="116" t="s">
        <v>179</v>
      </c>
      <c r="C154" s="122" t="s">
        <v>180</v>
      </c>
      <c r="D154" s="125">
        <v>1.03</v>
      </c>
      <c r="E154" s="123" t="s">
        <v>130</v>
      </c>
      <c r="F154" s="124">
        <f t="shared" si="119"/>
        <v>162.38</v>
      </c>
      <c r="G154" s="87">
        <f>G153*D154</f>
        <v>49</v>
      </c>
      <c r="H154" s="87">
        <f>H153*D154</f>
        <v>35.25</v>
      </c>
      <c r="I154" s="87">
        <f>I153*D154</f>
        <v>35.26</v>
      </c>
      <c r="J154" s="87">
        <f>J153*D154</f>
        <v>42.87</v>
      </c>
      <c r="K154" s="87"/>
      <c r="L154" s="87"/>
      <c r="M154" s="87"/>
      <c r="N154" s="29"/>
      <c r="O154" s="29"/>
      <c r="P154" s="49" t="str">
        <f>VLOOKUP(B154,'Форма КП'!$B$24:$G$35,5,FALSE)</f>
        <v>Материал заказчика</v>
      </c>
      <c r="Q154" s="50"/>
      <c r="R154" s="49" t="str">
        <f t="shared" ref="R154" si="126">P154</f>
        <v>Материал заказчика</v>
      </c>
      <c r="S154" s="50"/>
    </row>
    <row r="155" spans="1:19" x14ac:dyDescent="0.25">
      <c r="A155" s="185" t="s">
        <v>22</v>
      </c>
      <c r="B155" s="186"/>
      <c r="C155" s="186"/>
      <c r="D155" s="186"/>
      <c r="E155" s="186"/>
      <c r="F155" s="186"/>
      <c r="G155" s="186"/>
      <c r="H155" s="186"/>
      <c r="I155" s="186"/>
      <c r="J155" s="186"/>
      <c r="K155" s="186"/>
      <c r="L155" s="186"/>
      <c r="M155" s="186"/>
      <c r="N155" s="186"/>
      <c r="O155" s="186"/>
      <c r="P155" s="186"/>
      <c r="Q155" s="186"/>
      <c r="R155" s="187"/>
      <c r="S155" s="12">
        <f>SUM(S17:S154)</f>
        <v>0</v>
      </c>
    </row>
    <row r="156" spans="1:19" x14ac:dyDescent="0.25">
      <c r="A156" s="182" t="s">
        <v>24</v>
      </c>
      <c r="B156" s="183"/>
      <c r="C156" s="183"/>
      <c r="D156" s="183"/>
      <c r="E156" s="183"/>
      <c r="F156" s="183"/>
      <c r="G156" s="183"/>
      <c r="H156" s="183"/>
      <c r="I156" s="183"/>
      <c r="J156" s="183"/>
      <c r="K156" s="183"/>
      <c r="L156" s="183"/>
      <c r="M156" s="183"/>
      <c r="N156" s="183"/>
      <c r="O156" s="183"/>
      <c r="P156" s="183"/>
      <c r="Q156" s="183"/>
      <c r="R156" s="184"/>
      <c r="S156" s="13">
        <f>SUM(O17:O154)</f>
        <v>0</v>
      </c>
    </row>
    <row r="157" spans="1:19" x14ac:dyDescent="0.25">
      <c r="A157" s="182" t="s">
        <v>25</v>
      </c>
      <c r="B157" s="183"/>
      <c r="C157" s="183"/>
      <c r="D157" s="183"/>
      <c r="E157" s="183"/>
      <c r="F157" s="183"/>
      <c r="G157" s="183"/>
      <c r="H157" s="183"/>
      <c r="I157" s="183"/>
      <c r="J157" s="183"/>
      <c r="K157" s="183"/>
      <c r="L157" s="183"/>
      <c r="M157" s="183"/>
      <c r="N157" s="183"/>
      <c r="O157" s="183"/>
      <c r="P157" s="183"/>
      <c r="Q157" s="183"/>
      <c r="R157" s="184"/>
      <c r="S157" s="13">
        <f>SUM(Q17:Q154)</f>
        <v>0</v>
      </c>
    </row>
    <row r="158" spans="1:19" x14ac:dyDescent="0.25">
      <c r="A158" s="179" t="s">
        <v>21</v>
      </c>
      <c r="B158" s="180"/>
      <c r="C158" s="180"/>
      <c r="D158" s="180"/>
      <c r="E158" s="180"/>
      <c r="F158" s="180"/>
      <c r="G158" s="180"/>
      <c r="H158" s="180"/>
      <c r="I158" s="180"/>
      <c r="J158" s="180"/>
      <c r="K158" s="180"/>
      <c r="L158" s="180"/>
      <c r="M158" s="180"/>
      <c r="N158" s="180"/>
      <c r="O158" s="180"/>
      <c r="P158" s="180"/>
      <c r="Q158" s="180"/>
      <c r="R158" s="181"/>
      <c r="S158" s="12">
        <f>IF('Форма КП'!E45&lt;20%,S157*0.2,0)</f>
        <v>0</v>
      </c>
    </row>
    <row r="159" spans="1:19" x14ac:dyDescent="0.25">
      <c r="A159" s="185" t="str">
        <f>IF('Форма КП'!E45=0,"Без НДС в связи с применением УСН","НДС " &amp; TEXT('Форма КП'!E45,"0%"))</f>
        <v>Без НДС в связи с применением УСН</v>
      </c>
      <c r="B159" s="186"/>
      <c r="C159" s="186"/>
      <c r="D159" s="186"/>
      <c r="E159" s="186"/>
      <c r="F159" s="186"/>
      <c r="G159" s="186"/>
      <c r="H159" s="186"/>
      <c r="I159" s="186"/>
      <c r="J159" s="186"/>
      <c r="K159" s="186"/>
      <c r="L159" s="186"/>
      <c r="M159" s="186"/>
      <c r="N159" s="186"/>
      <c r="O159" s="186"/>
      <c r="P159" s="186"/>
      <c r="Q159" s="186"/>
      <c r="R159" s="187"/>
      <c r="S159" s="12">
        <f>SUM(S156:S158)*'Форма КП'!E45</f>
        <v>0</v>
      </c>
    </row>
    <row r="160" spans="1:19" x14ac:dyDescent="0.25">
      <c r="A160" s="185" t="s">
        <v>22</v>
      </c>
      <c r="B160" s="186"/>
      <c r="C160" s="186"/>
      <c r="D160" s="186"/>
      <c r="E160" s="186"/>
      <c r="F160" s="186"/>
      <c r="G160" s="186"/>
      <c r="H160" s="186"/>
      <c r="I160" s="186"/>
      <c r="J160" s="186"/>
      <c r="K160" s="186"/>
      <c r="L160" s="186"/>
      <c r="M160" s="186"/>
      <c r="N160" s="186"/>
      <c r="O160" s="186"/>
      <c r="P160" s="186"/>
      <c r="Q160" s="186"/>
      <c r="R160" s="187"/>
      <c r="S160" s="12">
        <f>S155+S158+S159</f>
        <v>0</v>
      </c>
    </row>
  </sheetData>
  <sheetProtection algorithmName="SHA-512" hashValue="T6mkWSqgHqntTJrSJw8W5/I5gup42B7Fhqqro+oJZpp8QwQVXiLUyONZNaYs3daN+wQk0fEnH5qvQ9/BgBzoXA==" saltValue="jUUncCYhHNv0A/tV5Urd7A==" spinCount="100000" sheet="1" objects="1" scenarios="1"/>
  <protectedRanges>
    <protectedRange sqref="A2:B7 A158:S159" name="Диапазон1"/>
  </protectedRanges>
  <autoFilter ref="A14:S160" xr:uid="{E05703DA-0DDE-4C8F-806E-C2B54B016C33}">
    <filterColumn colId="13" showButton="0"/>
    <filterColumn colId="14" showButton="0"/>
    <filterColumn colId="15" showButton="0"/>
    <filterColumn colId="17" showButton="0"/>
  </autoFilter>
  <mergeCells count="34">
    <mergeCell ref="M14:M16"/>
    <mergeCell ref="A11:S11"/>
    <mergeCell ref="A12:S12"/>
    <mergeCell ref="A2:B2"/>
    <mergeCell ref="A3:B3"/>
    <mergeCell ref="A4:B4"/>
    <mergeCell ref="A5:B5"/>
    <mergeCell ref="A10:S10"/>
    <mergeCell ref="D14:D16"/>
    <mergeCell ref="I14:I16"/>
    <mergeCell ref="J14:J16"/>
    <mergeCell ref="K14:K16"/>
    <mergeCell ref="L14:L16"/>
    <mergeCell ref="A155:R155"/>
    <mergeCell ref="N14:Q14"/>
    <mergeCell ref="R14:S14"/>
    <mergeCell ref="O15:O16"/>
    <mergeCell ref="P15:P16"/>
    <mergeCell ref="Q15:Q16"/>
    <mergeCell ref="R15:R16"/>
    <mergeCell ref="S15:S16"/>
    <mergeCell ref="A14:A16"/>
    <mergeCell ref="B14:B16"/>
    <mergeCell ref="C14:C16"/>
    <mergeCell ref="E14:E16"/>
    <mergeCell ref="F14:F16"/>
    <mergeCell ref="N15:N16"/>
    <mergeCell ref="G14:G16"/>
    <mergeCell ref="H14:H16"/>
    <mergeCell ref="A158:R158"/>
    <mergeCell ref="A156:R156"/>
    <mergeCell ref="A157:R157"/>
    <mergeCell ref="A159:R159"/>
    <mergeCell ref="A160:R160"/>
  </mergeCells>
  <phoneticPr fontId="2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F7F83-24D2-4690-8D30-FBE5F45EEF2C}">
  <dimension ref="B3:F13"/>
  <sheetViews>
    <sheetView view="pageBreakPreview" zoomScaleNormal="100" zoomScaleSheetLayoutView="100" workbookViewId="0">
      <selection activeCell="E14" sqref="E14"/>
    </sheetView>
  </sheetViews>
  <sheetFormatPr defaultColWidth="9.140625" defaultRowHeight="15" x14ac:dyDescent="0.25"/>
  <cols>
    <col min="1" max="1" width="9.140625" style="11"/>
    <col min="2" max="2" width="4.42578125" style="11" bestFit="1" customWidth="1"/>
    <col min="3" max="3" width="73.85546875" style="11" bestFit="1" customWidth="1"/>
    <col min="4" max="4" width="12.85546875" style="11" customWidth="1"/>
    <col min="5" max="5" width="17.7109375" style="11" customWidth="1"/>
    <col min="6" max="16384" width="9.140625" style="11"/>
  </cols>
  <sheetData>
    <row r="3" spans="2:6" x14ac:dyDescent="0.25">
      <c r="B3" s="211" t="s">
        <v>68</v>
      </c>
      <c r="C3" s="211"/>
      <c r="D3" s="211"/>
      <c r="E3" s="211"/>
    </row>
    <row r="5" spans="2:6" x14ac:dyDescent="0.25">
      <c r="B5" s="104" t="s">
        <v>69</v>
      </c>
      <c r="C5" s="104" t="s">
        <v>70</v>
      </c>
      <c r="D5" s="104" t="s">
        <v>71</v>
      </c>
      <c r="E5" s="104" t="s">
        <v>15</v>
      </c>
    </row>
    <row r="6" spans="2:6" x14ac:dyDescent="0.25">
      <c r="B6" s="104">
        <v>1</v>
      </c>
      <c r="C6" s="105" t="str">
        <f>'Форма КП'!C25</f>
        <v>Подвесной потолок Himmel RC с комплектующими</v>
      </c>
      <c r="D6" s="104" t="str">
        <f>'Форма КП'!D25</f>
        <v>м2</v>
      </c>
      <c r="E6" s="106">
        <f>'Форма КП'!E25</f>
        <v>495.6</v>
      </c>
      <c r="F6" s="107"/>
    </row>
    <row r="7" spans="2:6" x14ac:dyDescent="0.25">
      <c r="B7" s="104">
        <v>2</v>
      </c>
      <c r="C7" s="105" t="str">
        <f>'Форма КП'!C26</f>
        <v>Подвесной потолок Армстронг 600х600 с комплектующими</v>
      </c>
      <c r="D7" s="104" t="str">
        <f>'Форма КП'!D26</f>
        <v>м2</v>
      </c>
      <c r="E7" s="106">
        <f>'Форма КП'!E26</f>
        <v>30.01</v>
      </c>
      <c r="F7" s="107"/>
    </row>
    <row r="8" spans="2:6" x14ac:dyDescent="0.25">
      <c r="B8" s="104">
        <v>3</v>
      </c>
      <c r="C8" s="105" t="str">
        <f>'Форма КП'!C27</f>
        <v>Подвесной потолок Грильято 100х100 с комплектующими</v>
      </c>
      <c r="D8" s="104" t="str">
        <f>'Форма КП'!D27</f>
        <v>м2</v>
      </c>
      <c r="E8" s="106">
        <f>'Форма КП'!E27</f>
        <v>2806.78</v>
      </c>
      <c r="F8" s="107"/>
    </row>
    <row r="9" spans="2:6" x14ac:dyDescent="0.25">
      <c r="B9" s="104">
        <v>4</v>
      </c>
      <c r="C9" s="105" t="str">
        <f>'Форма КП'!C29</f>
        <v>Краска влагостойкая для сухих и влажных помещений колерованная RAL 7040</v>
      </c>
      <c r="D9" s="104" t="str">
        <f>'Форма КП'!D29</f>
        <v>л</v>
      </c>
      <c r="E9" s="106">
        <f>'Форма КП'!E29</f>
        <v>323.08999999999997</v>
      </c>
      <c r="F9" s="107"/>
    </row>
    <row r="10" spans="2:6" x14ac:dyDescent="0.25">
      <c r="B10" s="104">
        <v>5</v>
      </c>
      <c r="C10" s="105" t="str">
        <f>'Форма КП'!C30</f>
        <v>Краска влагостойкая для сухих и влажных помещений колерованная RAL 9003</v>
      </c>
      <c r="D10" s="104" t="str">
        <f>'Форма КП'!D30</f>
        <v>л</v>
      </c>
      <c r="E10" s="106">
        <f>'Форма КП'!E30</f>
        <v>10.199999999999999</v>
      </c>
      <c r="F10" s="107"/>
    </row>
    <row r="11" spans="2:6" x14ac:dyDescent="0.25">
      <c r="B11" s="104">
        <v>6</v>
      </c>
      <c r="C11" s="105" t="str">
        <f>'Форма КП'!C31</f>
        <v>Краска влагостойкая для сухих и влажных помещений колерованная RAL 9004</v>
      </c>
      <c r="D11" s="104" t="str">
        <f>'Форма КП'!D31</f>
        <v>л</v>
      </c>
      <c r="E11" s="106">
        <f>'Форма КП'!E31</f>
        <v>801.61</v>
      </c>
      <c r="F11" s="107"/>
    </row>
    <row r="12" spans="2:6" x14ac:dyDescent="0.25">
      <c r="B12" s="104">
        <v>7</v>
      </c>
      <c r="C12" s="105" t="str">
        <f>'Форма КП'!C32</f>
        <v>Краска влагостойкая для сухих и влажных помещений колерованная RAL 9005</v>
      </c>
      <c r="D12" s="104" t="str">
        <f>'Форма КП'!D32</f>
        <v>л</v>
      </c>
      <c r="E12" s="106">
        <f>'Форма КП'!E32</f>
        <v>23.84</v>
      </c>
      <c r="F12" s="107"/>
    </row>
    <row r="13" spans="2:6" x14ac:dyDescent="0.25">
      <c r="B13" s="104">
        <v>8</v>
      </c>
      <c r="C13" s="105" t="str">
        <f>'Форма КП'!C35</f>
        <v>Шпатлевка полимерная сухая</v>
      </c>
      <c r="D13" s="104" t="str">
        <f>'Форма КП'!D35</f>
        <v>кг</v>
      </c>
      <c r="E13" s="106">
        <f>'Форма КП'!E35</f>
        <v>97.91</v>
      </c>
      <c r="F13" s="107"/>
    </row>
  </sheetData>
  <sheetProtection algorithmName="SHA-512" hashValue="6D4y/fK5Obve2jsESYkaEuRm22W6UZ2c10JM0cX4sDnhPeNP+mWlzI74Bo/gTquP3GSUxU/V6IBxuDAu7IzYRg==" saltValue="uCH7J+QvMXGcqeyNxcLonA==" spinCount="100000" sheet="1" objects="1" scenarios="1"/>
  <mergeCells count="1">
    <mergeCell ref="B3:E3"/>
  </mergeCells>
  <pageMargins left="0.7" right="0.7" top="0.75" bottom="0.75" header="0.3" footer="0.3"/>
  <pageSetup paperSize="9" scale="63" orientation="portrait" r:id="rId1"/>
  <colBreaks count="1" manualBreakCount="1">
    <brk id="7" max="2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E52A3-896F-4ECB-8B14-DC56680BDD3E}">
  <sheetPr>
    <tabColor theme="4" tint="0.79998168889431442"/>
  </sheetPr>
  <dimension ref="A1:NE30"/>
  <sheetViews>
    <sheetView workbookViewId="0">
      <selection activeCell="B6" sqref="B6"/>
    </sheetView>
  </sheetViews>
  <sheetFormatPr defaultRowHeight="15" x14ac:dyDescent="0.25"/>
  <cols>
    <col min="1" max="1" width="5.140625" bestFit="1" customWidth="1"/>
    <col min="2" max="2" width="60.28515625" bestFit="1" customWidth="1"/>
    <col min="3" max="4" width="11.7109375" customWidth="1"/>
    <col min="5" max="369" width="1.42578125" customWidth="1"/>
  </cols>
  <sheetData>
    <row r="1" spans="1:369" ht="15.75" thickBot="1" x14ac:dyDescent="0.3">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51"/>
      <c r="EW1" s="51"/>
      <c r="EX1" s="51"/>
      <c r="EY1" s="51"/>
      <c r="EZ1" s="51"/>
      <c r="FA1" s="51"/>
      <c r="FB1" s="51"/>
      <c r="FC1" s="51"/>
      <c r="FD1" s="51"/>
      <c r="FE1" s="51"/>
      <c r="FF1" s="51"/>
      <c r="FG1" s="51"/>
      <c r="FH1" s="51"/>
      <c r="FI1" s="51"/>
      <c r="FJ1" s="51"/>
      <c r="FK1" s="51"/>
      <c r="FL1" s="51"/>
      <c r="FM1" s="51"/>
      <c r="FN1" s="51"/>
      <c r="FO1" s="51"/>
      <c r="FP1" s="51"/>
      <c r="FQ1" s="51"/>
      <c r="FR1" s="51"/>
      <c r="FS1" s="51"/>
      <c r="FT1" s="51"/>
      <c r="FU1" s="51"/>
      <c r="FV1" s="51"/>
      <c r="FW1" s="51"/>
      <c r="FX1" s="51"/>
      <c r="FY1" s="51"/>
      <c r="FZ1" s="51"/>
      <c r="GA1" s="51"/>
      <c r="GB1" s="51"/>
      <c r="GC1" s="51"/>
      <c r="GD1" s="51"/>
      <c r="GE1" s="51"/>
      <c r="GF1" s="51"/>
      <c r="GG1" s="51"/>
      <c r="GH1" s="51"/>
      <c r="GI1" s="51"/>
      <c r="GJ1" s="51"/>
      <c r="GK1" s="51"/>
      <c r="GL1" s="51"/>
      <c r="GM1" s="51"/>
      <c r="GN1" s="51"/>
      <c r="GO1" s="51"/>
      <c r="GP1" s="51"/>
      <c r="GQ1" s="51"/>
      <c r="GR1" s="51"/>
      <c r="GS1" s="51"/>
      <c r="GT1" s="51"/>
      <c r="GU1" s="51"/>
      <c r="GV1" s="51"/>
      <c r="GW1" s="51"/>
      <c r="GX1" s="51"/>
      <c r="GY1" s="51"/>
      <c r="GZ1" s="51"/>
      <c r="HA1" s="51"/>
      <c r="HB1" s="51"/>
      <c r="HC1" s="51"/>
      <c r="HD1" s="51"/>
      <c r="HE1" s="51"/>
      <c r="HF1" s="51"/>
      <c r="HG1" s="51"/>
      <c r="HH1" s="51"/>
      <c r="HI1" s="51"/>
      <c r="HJ1" s="51"/>
      <c r="HK1" s="51"/>
      <c r="HL1" s="51"/>
      <c r="HM1" s="51"/>
      <c r="HN1" s="51"/>
      <c r="HO1" s="51"/>
      <c r="HP1" s="51"/>
      <c r="HQ1" s="51"/>
      <c r="HR1" s="51"/>
      <c r="HS1" s="51"/>
      <c r="HT1" s="51"/>
      <c r="HU1" s="51"/>
      <c r="HV1" s="51"/>
      <c r="HW1" s="51"/>
      <c r="HX1" s="51"/>
      <c r="HY1" s="51"/>
      <c r="HZ1" s="51"/>
      <c r="IA1" s="51"/>
      <c r="IB1" s="51"/>
      <c r="IC1" s="51"/>
      <c r="ID1" s="51"/>
      <c r="IE1" s="51"/>
      <c r="IF1" s="51"/>
      <c r="IG1" s="51"/>
      <c r="IH1" s="51"/>
      <c r="II1" s="51"/>
      <c r="IJ1" s="51"/>
      <c r="IK1" s="51"/>
      <c r="IL1" s="51"/>
      <c r="IM1" s="51"/>
      <c r="IN1" s="51"/>
      <c r="IO1" s="51"/>
      <c r="IP1" s="51"/>
      <c r="IQ1" s="51"/>
      <c r="IR1" s="51"/>
      <c r="IS1" s="51"/>
      <c r="IT1" s="51"/>
      <c r="IU1" s="51"/>
      <c r="IV1" s="51"/>
      <c r="IW1" s="51"/>
      <c r="IX1" s="51"/>
      <c r="IY1" s="51"/>
      <c r="IZ1" s="51"/>
      <c r="JA1" s="51"/>
      <c r="JB1" s="51"/>
      <c r="JC1" s="51"/>
      <c r="JD1" s="51"/>
      <c r="JE1" s="51"/>
      <c r="JF1" s="51"/>
      <c r="JG1" s="51"/>
      <c r="JH1" s="51"/>
      <c r="JI1" s="51"/>
      <c r="JJ1" s="51"/>
      <c r="JK1" s="51"/>
      <c r="JL1" s="51"/>
      <c r="JM1" s="51"/>
      <c r="JN1" s="51"/>
      <c r="JO1" s="51"/>
      <c r="JP1" s="51"/>
      <c r="JQ1" s="51"/>
      <c r="JR1" s="51"/>
      <c r="JS1" s="51"/>
      <c r="JT1" s="51"/>
      <c r="JU1" s="51"/>
      <c r="JV1" s="51"/>
      <c r="JW1" s="51"/>
      <c r="JX1" s="51"/>
      <c r="JY1" s="51"/>
      <c r="JZ1" s="51"/>
      <c r="KA1" s="51"/>
      <c r="KB1" s="51"/>
      <c r="KC1" s="51"/>
      <c r="KD1" s="51"/>
      <c r="KE1" s="51"/>
      <c r="KF1" s="51"/>
      <c r="KG1" s="51"/>
      <c r="KH1" s="51"/>
      <c r="KI1" s="51"/>
      <c r="KJ1" s="51"/>
      <c r="KK1" s="51"/>
      <c r="KL1" s="51"/>
      <c r="KM1" s="51"/>
      <c r="KN1" s="51"/>
      <c r="KO1" s="51"/>
      <c r="KP1" s="51"/>
      <c r="KQ1" s="51"/>
      <c r="KR1" s="51"/>
      <c r="KS1" s="51"/>
      <c r="KT1" s="51"/>
      <c r="KU1" s="51"/>
      <c r="KV1" s="51"/>
      <c r="KW1" s="51"/>
      <c r="KX1" s="51"/>
      <c r="KY1" s="51"/>
      <c r="KZ1" s="51"/>
      <c r="LA1" s="51"/>
      <c r="LB1" s="51"/>
      <c r="LC1" s="51"/>
      <c r="LD1" s="51"/>
      <c r="LE1" s="51"/>
      <c r="LF1" s="51"/>
      <c r="LG1" s="51"/>
      <c r="LH1" s="51"/>
      <c r="LI1" s="51"/>
      <c r="LJ1" s="51"/>
      <c r="LK1" s="51"/>
      <c r="LL1" s="51"/>
      <c r="LM1" s="51"/>
      <c r="LN1" s="51"/>
      <c r="LO1" s="51"/>
      <c r="LP1" s="51"/>
      <c r="LQ1" s="51"/>
      <c r="LR1" s="51"/>
      <c r="LS1" s="51"/>
      <c r="LT1" s="51"/>
      <c r="LU1" s="51"/>
      <c r="LV1" s="51"/>
      <c r="LW1" s="51"/>
      <c r="LX1" s="51"/>
      <c r="LY1" s="51"/>
      <c r="LZ1" s="51"/>
      <c r="MA1" s="51"/>
      <c r="MB1" s="51"/>
      <c r="MC1" s="51"/>
      <c r="MD1" s="51"/>
      <c r="ME1" s="51"/>
      <c r="MF1" s="51"/>
      <c r="MG1" s="51"/>
      <c r="MH1" s="51"/>
      <c r="MI1" s="51"/>
      <c r="MJ1" s="51"/>
      <c r="MK1" s="51"/>
      <c r="ML1" s="51"/>
      <c r="MM1" s="51"/>
      <c r="MN1" s="51"/>
      <c r="MO1" s="51"/>
      <c r="MP1" s="51"/>
      <c r="MQ1" s="51"/>
      <c r="MR1" s="51"/>
      <c r="MS1" s="51"/>
      <c r="MT1" s="51"/>
      <c r="MU1" s="51"/>
      <c r="MV1" s="51"/>
      <c r="MW1" s="51"/>
      <c r="MX1" s="51"/>
      <c r="MY1" s="51"/>
      <c r="MZ1" s="51"/>
      <c r="NA1" s="51"/>
      <c r="NB1" s="51"/>
      <c r="NC1" s="51"/>
      <c r="ND1" s="51"/>
      <c r="NE1" s="51"/>
    </row>
    <row r="2" spans="1:369" ht="15.75" thickBot="1" x14ac:dyDescent="0.3">
      <c r="A2" s="215" t="s">
        <v>102</v>
      </c>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6"/>
      <c r="AJ2" s="216"/>
      <c r="AK2" s="216"/>
      <c r="AL2" s="216"/>
      <c r="AM2" s="216"/>
      <c r="AN2" s="216"/>
      <c r="AO2" s="216"/>
      <c r="AP2" s="216"/>
      <c r="AQ2" s="216"/>
      <c r="AR2" s="216"/>
      <c r="AS2" s="216"/>
      <c r="AT2" s="216"/>
      <c r="AU2" s="216"/>
      <c r="AV2" s="216"/>
      <c r="AW2" s="216"/>
      <c r="AX2" s="216"/>
      <c r="AY2" s="216"/>
      <c r="AZ2" s="216"/>
      <c r="BA2" s="216"/>
      <c r="BB2" s="216"/>
      <c r="BC2" s="216"/>
      <c r="BD2" s="216"/>
      <c r="BE2" s="216"/>
      <c r="BF2" s="216"/>
      <c r="BG2" s="216"/>
      <c r="BH2" s="216"/>
      <c r="BI2" s="216"/>
      <c r="BJ2" s="216"/>
      <c r="BK2" s="216"/>
      <c r="BL2" s="216"/>
      <c r="BM2" s="216"/>
      <c r="BN2" s="216"/>
      <c r="BO2" s="216"/>
      <c r="BP2" s="216"/>
      <c r="BQ2" s="216"/>
      <c r="BR2" s="216"/>
      <c r="BS2" s="216"/>
      <c r="BT2" s="216"/>
      <c r="BU2" s="216"/>
      <c r="BV2" s="216"/>
      <c r="BW2" s="216"/>
      <c r="BX2" s="216"/>
      <c r="BY2" s="216"/>
      <c r="BZ2" s="216"/>
      <c r="CA2" s="216"/>
      <c r="CB2" s="216"/>
      <c r="CC2" s="216"/>
      <c r="CD2" s="216"/>
      <c r="CE2" s="216"/>
      <c r="CF2" s="216"/>
      <c r="CG2" s="216"/>
      <c r="CH2" s="216"/>
      <c r="CI2" s="216"/>
      <c r="CJ2" s="216"/>
      <c r="CK2" s="216"/>
      <c r="CL2" s="216"/>
      <c r="CM2" s="216"/>
      <c r="CN2" s="216"/>
      <c r="CO2" s="216"/>
      <c r="CP2" s="216"/>
      <c r="CQ2" s="216"/>
      <c r="CR2" s="216"/>
      <c r="CS2" s="216"/>
      <c r="CT2" s="216"/>
      <c r="CU2" s="216"/>
      <c r="CV2" s="216"/>
      <c r="CW2" s="216"/>
      <c r="CX2" s="216"/>
      <c r="CY2" s="216"/>
      <c r="CZ2" s="216"/>
      <c r="DA2" s="216"/>
      <c r="DB2" s="216"/>
      <c r="DC2" s="216"/>
      <c r="DD2" s="216"/>
      <c r="DE2" s="216"/>
      <c r="DF2" s="216"/>
      <c r="DG2" s="216"/>
      <c r="DH2" s="216"/>
      <c r="DI2" s="216"/>
      <c r="DJ2" s="216"/>
      <c r="DK2" s="216"/>
      <c r="DL2" s="216"/>
      <c r="DM2" s="216"/>
      <c r="DN2" s="216"/>
      <c r="DO2" s="216"/>
      <c r="DP2" s="216"/>
      <c r="DQ2" s="216"/>
      <c r="DR2" s="216"/>
      <c r="DS2" s="216"/>
      <c r="DT2" s="216"/>
      <c r="DU2" s="216"/>
      <c r="DV2" s="216"/>
      <c r="DW2" s="216"/>
      <c r="DX2" s="216"/>
      <c r="DY2" s="216"/>
      <c r="DZ2" s="216"/>
      <c r="EA2" s="216"/>
      <c r="EB2" s="216"/>
      <c r="EC2" s="216"/>
      <c r="ED2" s="216"/>
      <c r="EE2" s="216"/>
      <c r="EF2" s="216"/>
      <c r="EG2" s="216"/>
      <c r="EH2" s="216"/>
      <c r="EI2" s="216"/>
      <c r="EJ2" s="216"/>
      <c r="EK2" s="216"/>
      <c r="EL2" s="216"/>
      <c r="EM2" s="216"/>
      <c r="EN2" s="216"/>
      <c r="EO2" s="216"/>
      <c r="EP2" s="216"/>
      <c r="EQ2" s="216"/>
      <c r="ER2" s="216"/>
      <c r="ES2" s="216"/>
      <c r="ET2" s="216"/>
      <c r="EU2" s="216"/>
      <c r="EV2" s="216"/>
      <c r="EW2" s="216"/>
      <c r="EX2" s="216"/>
      <c r="EY2" s="216"/>
      <c r="EZ2" s="216"/>
      <c r="FA2" s="216"/>
      <c r="FB2" s="216"/>
      <c r="FC2" s="216"/>
      <c r="FD2" s="216"/>
      <c r="FE2" s="216"/>
      <c r="FF2" s="216"/>
      <c r="FG2" s="216"/>
      <c r="FH2" s="216"/>
      <c r="FI2" s="216"/>
      <c r="FJ2" s="216"/>
      <c r="FK2" s="216"/>
      <c r="FL2" s="216"/>
      <c r="FM2" s="216"/>
      <c r="FN2" s="216"/>
      <c r="FO2" s="216"/>
      <c r="FP2" s="216"/>
      <c r="FQ2" s="216"/>
      <c r="FR2" s="216"/>
      <c r="FS2" s="216"/>
      <c r="FT2" s="216"/>
      <c r="FU2" s="216"/>
      <c r="FV2" s="216"/>
      <c r="FW2" s="216"/>
      <c r="FX2" s="216"/>
      <c r="FY2" s="216"/>
      <c r="FZ2" s="216"/>
      <c r="GA2" s="216"/>
      <c r="GB2" s="216"/>
      <c r="GC2" s="216"/>
      <c r="GD2" s="216"/>
      <c r="GE2" s="216"/>
      <c r="GF2" s="216"/>
      <c r="GG2" s="216"/>
      <c r="GH2" s="216"/>
      <c r="GI2" s="216"/>
      <c r="GJ2" s="216"/>
      <c r="GK2" s="216"/>
      <c r="GL2" s="216"/>
      <c r="GM2" s="216"/>
      <c r="GN2" s="216"/>
      <c r="GO2" s="216"/>
      <c r="GP2" s="216"/>
      <c r="GQ2" s="216"/>
      <c r="GR2" s="216"/>
      <c r="GS2" s="216"/>
      <c r="GT2" s="216"/>
      <c r="GU2" s="216"/>
      <c r="GV2" s="216"/>
      <c r="GW2" s="216"/>
      <c r="GX2" s="216"/>
      <c r="GY2" s="216"/>
      <c r="GZ2" s="216"/>
      <c r="HA2" s="216"/>
      <c r="HB2" s="216"/>
      <c r="HC2" s="216"/>
      <c r="HD2" s="216"/>
      <c r="HE2" s="216"/>
      <c r="HF2" s="216"/>
      <c r="HG2" s="216"/>
      <c r="HH2" s="216"/>
      <c r="HI2" s="216"/>
      <c r="HJ2" s="216"/>
      <c r="HK2" s="216"/>
      <c r="HL2" s="216"/>
      <c r="HM2" s="216"/>
      <c r="HN2" s="216"/>
      <c r="HO2" s="216"/>
      <c r="HP2" s="216"/>
      <c r="HQ2" s="216"/>
      <c r="HR2" s="216"/>
      <c r="HS2" s="216"/>
      <c r="HT2" s="216"/>
      <c r="HU2" s="216"/>
      <c r="HV2" s="216"/>
      <c r="HW2" s="216"/>
      <c r="HX2" s="216"/>
      <c r="HY2" s="216"/>
      <c r="HZ2" s="216"/>
      <c r="IA2" s="216"/>
      <c r="IB2" s="216"/>
      <c r="IC2" s="216"/>
      <c r="ID2" s="216"/>
      <c r="IE2" s="216"/>
      <c r="IF2" s="216"/>
      <c r="IG2" s="216"/>
      <c r="IH2" s="216"/>
      <c r="II2" s="216"/>
      <c r="IJ2" s="216"/>
      <c r="IK2" s="216"/>
      <c r="IL2" s="216"/>
      <c r="IM2" s="216"/>
      <c r="IN2" s="216"/>
      <c r="IO2" s="216"/>
      <c r="IP2" s="216"/>
      <c r="IQ2" s="216"/>
      <c r="IR2" s="216"/>
      <c r="IS2" s="216"/>
      <c r="IT2" s="216"/>
      <c r="IU2" s="216"/>
      <c r="IV2" s="216"/>
      <c r="IW2" s="216"/>
      <c r="IX2" s="216"/>
      <c r="IY2" s="216"/>
      <c r="IZ2" s="216"/>
      <c r="JA2" s="216"/>
      <c r="JB2" s="216"/>
      <c r="JC2" s="216"/>
      <c r="JD2" s="216"/>
      <c r="JE2" s="216"/>
      <c r="JF2" s="216"/>
      <c r="JG2" s="216"/>
      <c r="JH2" s="216"/>
      <c r="JI2" s="216"/>
      <c r="JJ2" s="216"/>
      <c r="JK2" s="216"/>
      <c r="JL2" s="216"/>
      <c r="JM2" s="216"/>
      <c r="JN2" s="216"/>
      <c r="JO2" s="216"/>
      <c r="JP2" s="216"/>
      <c r="JQ2" s="216"/>
      <c r="JR2" s="216"/>
      <c r="JS2" s="216"/>
      <c r="JT2" s="216"/>
      <c r="JU2" s="216"/>
      <c r="JV2" s="216"/>
      <c r="JW2" s="216"/>
      <c r="JX2" s="216"/>
      <c r="JY2" s="216"/>
      <c r="JZ2" s="216"/>
      <c r="KA2" s="216"/>
      <c r="KB2" s="216"/>
      <c r="KC2" s="216"/>
      <c r="KD2" s="216"/>
      <c r="KE2" s="216"/>
      <c r="KF2" s="216"/>
      <c r="KG2" s="216"/>
      <c r="KH2" s="216"/>
      <c r="KI2" s="216"/>
      <c r="KJ2" s="216"/>
      <c r="KK2" s="216"/>
      <c r="KL2" s="216"/>
      <c r="KM2" s="216"/>
      <c r="KN2" s="216"/>
      <c r="KO2" s="216"/>
      <c r="KP2" s="216"/>
      <c r="KQ2" s="216"/>
      <c r="KR2" s="216"/>
      <c r="KS2" s="216"/>
      <c r="KT2" s="216"/>
      <c r="KU2" s="216"/>
      <c r="KV2" s="216"/>
      <c r="KW2" s="216"/>
      <c r="KX2" s="216"/>
      <c r="KY2" s="216"/>
      <c r="KZ2" s="216"/>
      <c r="LA2" s="216"/>
      <c r="LB2" s="216"/>
      <c r="LC2" s="216"/>
      <c r="LD2" s="216"/>
      <c r="LE2" s="216"/>
      <c r="LF2" s="216"/>
      <c r="LG2" s="216"/>
      <c r="LH2" s="216"/>
      <c r="LI2" s="216"/>
      <c r="LJ2" s="216"/>
      <c r="LK2" s="216"/>
      <c r="LL2" s="216"/>
      <c r="LM2" s="216"/>
      <c r="LN2" s="216"/>
      <c r="LO2" s="216"/>
      <c r="LP2" s="216"/>
      <c r="LQ2" s="216"/>
      <c r="LR2" s="216"/>
      <c r="LS2" s="216"/>
      <c r="LT2" s="216"/>
      <c r="LU2" s="216"/>
      <c r="LV2" s="216"/>
      <c r="LW2" s="216"/>
      <c r="LX2" s="216"/>
      <c r="LY2" s="216"/>
      <c r="LZ2" s="216"/>
      <c r="MA2" s="216"/>
      <c r="MB2" s="216"/>
      <c r="MC2" s="216"/>
      <c r="MD2" s="216"/>
      <c r="ME2" s="216"/>
      <c r="MF2" s="216"/>
      <c r="MG2" s="216"/>
      <c r="MH2" s="216"/>
      <c r="MI2" s="216"/>
      <c r="MJ2" s="216"/>
      <c r="MK2" s="216"/>
      <c r="ML2" s="216"/>
      <c r="MM2" s="216"/>
      <c r="MN2" s="216"/>
      <c r="MO2" s="216"/>
      <c r="MP2" s="216"/>
      <c r="MQ2" s="216"/>
      <c r="MR2" s="216"/>
      <c r="MS2" s="216"/>
      <c r="MT2" s="216"/>
      <c r="MU2" s="216"/>
      <c r="MV2" s="216"/>
      <c r="MW2" s="216"/>
      <c r="MX2" s="216"/>
      <c r="MY2" s="216"/>
      <c r="MZ2" s="216"/>
      <c r="NA2" s="216"/>
      <c r="NB2" s="216"/>
      <c r="NC2" s="216"/>
      <c r="ND2" s="216"/>
      <c r="NE2" s="217"/>
    </row>
    <row r="3" spans="1:369" ht="15.75" thickBot="1" x14ac:dyDescent="0.3">
      <c r="A3" s="218" t="s">
        <v>11</v>
      </c>
      <c r="B3" s="221" t="s">
        <v>65</v>
      </c>
      <c r="C3" s="224" t="s">
        <v>103</v>
      </c>
      <c r="D3" s="227" t="s">
        <v>92</v>
      </c>
      <c r="E3" s="212" t="s">
        <v>104</v>
      </c>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c r="AE3" s="213"/>
      <c r="AF3" s="213"/>
      <c r="AG3" s="213"/>
      <c r="AH3" s="213"/>
      <c r="AI3" s="213"/>
      <c r="AJ3" s="213"/>
      <c r="AK3" s="213"/>
      <c r="AL3" s="213"/>
      <c r="AM3" s="213"/>
      <c r="AN3" s="213"/>
      <c r="AO3" s="213"/>
      <c r="AP3" s="213"/>
      <c r="AQ3" s="213"/>
      <c r="AR3" s="213"/>
      <c r="AS3" s="213"/>
      <c r="AT3" s="213"/>
      <c r="AU3" s="213"/>
      <c r="AV3" s="213"/>
      <c r="AW3" s="213"/>
      <c r="AX3" s="213"/>
      <c r="AY3" s="213"/>
      <c r="AZ3" s="213"/>
      <c r="BA3" s="213"/>
      <c r="BB3" s="213"/>
      <c r="BC3" s="213"/>
      <c r="BD3" s="213"/>
      <c r="BE3" s="213"/>
      <c r="BF3" s="213"/>
      <c r="BG3" s="213"/>
      <c r="BH3" s="213"/>
      <c r="BI3" s="213"/>
      <c r="BJ3" s="213"/>
      <c r="BK3" s="213"/>
      <c r="BL3" s="213"/>
      <c r="BM3" s="213"/>
      <c r="BN3" s="213"/>
      <c r="BO3" s="213"/>
      <c r="BP3" s="213"/>
      <c r="BQ3" s="213"/>
      <c r="BR3" s="213"/>
      <c r="BS3" s="213"/>
      <c r="BT3" s="213"/>
      <c r="BU3" s="213"/>
      <c r="BV3" s="213"/>
      <c r="BW3" s="213"/>
      <c r="BX3" s="213"/>
      <c r="BY3" s="213"/>
      <c r="BZ3" s="213"/>
      <c r="CA3" s="213"/>
      <c r="CB3" s="213"/>
      <c r="CC3" s="213"/>
      <c r="CD3" s="213"/>
      <c r="CE3" s="213"/>
      <c r="CF3" s="213"/>
      <c r="CG3" s="213"/>
      <c r="CH3" s="213"/>
      <c r="CI3" s="213"/>
      <c r="CJ3" s="213"/>
      <c r="CK3" s="213"/>
      <c r="CL3" s="213"/>
      <c r="CM3" s="213"/>
      <c r="CN3" s="213"/>
      <c r="CO3" s="213"/>
      <c r="CP3" s="213"/>
      <c r="CQ3" s="213"/>
      <c r="CR3" s="213"/>
      <c r="CS3" s="213"/>
      <c r="CT3" s="213"/>
      <c r="CU3" s="213"/>
      <c r="CV3" s="213"/>
      <c r="CW3" s="213"/>
      <c r="CX3" s="213"/>
      <c r="CY3" s="213"/>
      <c r="CZ3" s="213"/>
      <c r="DA3" s="213"/>
      <c r="DB3" s="213"/>
      <c r="DC3" s="213"/>
      <c r="DD3" s="213"/>
      <c r="DE3" s="213"/>
      <c r="DF3" s="213"/>
      <c r="DG3" s="213"/>
      <c r="DH3" s="213"/>
      <c r="DI3" s="213"/>
      <c r="DJ3" s="213"/>
      <c r="DK3" s="213"/>
      <c r="DL3" s="213"/>
      <c r="DM3" s="213"/>
      <c r="DN3" s="213"/>
      <c r="DO3" s="213"/>
      <c r="DP3" s="213"/>
      <c r="DQ3" s="213"/>
      <c r="DR3" s="213"/>
      <c r="DS3" s="213"/>
      <c r="DT3" s="213"/>
      <c r="DU3" s="213"/>
      <c r="DV3" s="213"/>
      <c r="DW3" s="213"/>
      <c r="DX3" s="213"/>
      <c r="DY3" s="213"/>
      <c r="DZ3" s="213"/>
      <c r="EA3" s="213"/>
      <c r="EB3" s="213"/>
      <c r="EC3" s="213"/>
      <c r="ED3" s="213"/>
      <c r="EE3" s="213"/>
      <c r="EF3" s="213"/>
      <c r="EG3" s="213"/>
      <c r="EH3" s="213"/>
      <c r="EI3" s="213"/>
      <c r="EJ3" s="213"/>
      <c r="EK3" s="213"/>
      <c r="EL3" s="213"/>
      <c r="EM3" s="213"/>
      <c r="EN3" s="213"/>
      <c r="EO3" s="213"/>
      <c r="EP3" s="213"/>
      <c r="EQ3" s="213"/>
      <c r="ER3" s="213"/>
      <c r="ES3" s="213"/>
      <c r="ET3" s="213"/>
      <c r="EU3" s="213"/>
      <c r="EV3" s="213"/>
      <c r="EW3" s="213"/>
      <c r="EX3" s="213"/>
      <c r="EY3" s="213"/>
      <c r="EZ3" s="213"/>
      <c r="FA3" s="213"/>
      <c r="FB3" s="213"/>
      <c r="FC3" s="213"/>
      <c r="FD3" s="213"/>
      <c r="FE3" s="213"/>
      <c r="FF3" s="213"/>
      <c r="FG3" s="213"/>
      <c r="FH3" s="213"/>
      <c r="FI3" s="213"/>
      <c r="FJ3" s="213"/>
      <c r="FK3" s="213"/>
      <c r="FL3" s="213"/>
      <c r="FM3" s="213"/>
      <c r="FN3" s="213"/>
      <c r="FO3" s="213"/>
      <c r="FP3" s="213"/>
      <c r="FQ3" s="213"/>
      <c r="FR3" s="213"/>
      <c r="FS3" s="213"/>
      <c r="FT3" s="213"/>
      <c r="FU3" s="213"/>
      <c r="FV3" s="213"/>
      <c r="FW3" s="213"/>
      <c r="FX3" s="213"/>
      <c r="FY3" s="213"/>
      <c r="FZ3" s="213"/>
      <c r="GA3" s="213"/>
      <c r="GB3" s="213"/>
      <c r="GC3" s="213"/>
      <c r="GD3" s="213"/>
      <c r="GE3" s="213"/>
      <c r="GF3" s="213"/>
      <c r="GG3" s="213"/>
      <c r="GH3" s="213"/>
      <c r="GI3" s="213"/>
      <c r="GJ3" s="213"/>
      <c r="GK3" s="213"/>
      <c r="GL3" s="213"/>
      <c r="GM3" s="213"/>
      <c r="GN3" s="213"/>
      <c r="GO3" s="213"/>
      <c r="GP3" s="213"/>
      <c r="GQ3" s="213"/>
      <c r="GR3" s="213"/>
      <c r="GS3" s="213"/>
      <c r="GT3" s="213"/>
      <c r="GU3" s="213"/>
      <c r="GV3" s="213"/>
      <c r="GW3" s="213"/>
      <c r="GX3" s="213"/>
      <c r="GY3" s="213"/>
      <c r="GZ3" s="213"/>
      <c r="HA3" s="213"/>
      <c r="HB3" s="213"/>
      <c r="HC3" s="213"/>
      <c r="HD3" s="213"/>
      <c r="HE3" s="213"/>
      <c r="HF3" s="213"/>
      <c r="HG3" s="213"/>
      <c r="HH3" s="213"/>
      <c r="HI3" s="213"/>
      <c r="HJ3" s="213"/>
      <c r="HK3" s="213"/>
      <c r="HL3" s="213"/>
      <c r="HM3" s="213"/>
      <c r="HN3" s="213"/>
      <c r="HO3" s="213"/>
      <c r="HP3" s="213"/>
      <c r="HQ3" s="213"/>
      <c r="HR3" s="213"/>
      <c r="HS3" s="213"/>
      <c r="HT3" s="213"/>
      <c r="HU3" s="213"/>
      <c r="HV3" s="213"/>
      <c r="HW3" s="213"/>
      <c r="HX3" s="213"/>
      <c r="HY3" s="213"/>
      <c r="HZ3" s="213"/>
      <c r="IA3" s="213"/>
      <c r="IB3" s="213"/>
      <c r="IC3" s="213"/>
      <c r="ID3" s="213"/>
      <c r="IE3" s="213"/>
      <c r="IF3" s="213"/>
      <c r="IG3" s="213"/>
      <c r="IH3" s="213"/>
      <c r="II3" s="213"/>
      <c r="IJ3" s="213"/>
      <c r="IK3" s="213"/>
      <c r="IL3" s="213"/>
      <c r="IM3" s="213"/>
      <c r="IN3" s="213"/>
      <c r="IO3" s="213"/>
      <c r="IP3" s="213"/>
      <c r="IQ3" s="213"/>
      <c r="IR3" s="213"/>
      <c r="IS3" s="213"/>
      <c r="IT3" s="213"/>
      <c r="IU3" s="213"/>
      <c r="IV3" s="213"/>
      <c r="IW3" s="213"/>
      <c r="IX3" s="213"/>
      <c r="IY3" s="213"/>
      <c r="IZ3" s="213"/>
      <c r="JA3" s="213"/>
      <c r="JB3" s="213"/>
      <c r="JC3" s="213"/>
      <c r="JD3" s="213"/>
      <c r="JE3" s="213"/>
      <c r="JF3" s="213"/>
      <c r="JG3" s="213"/>
      <c r="JH3" s="213"/>
      <c r="JI3" s="213"/>
      <c r="JJ3" s="213"/>
      <c r="JK3" s="213"/>
      <c r="JL3" s="213"/>
      <c r="JM3" s="213"/>
      <c r="JN3" s="213"/>
      <c r="JO3" s="213"/>
      <c r="JP3" s="213"/>
      <c r="JQ3" s="213"/>
      <c r="JR3" s="213"/>
      <c r="JS3" s="213"/>
      <c r="JT3" s="213"/>
      <c r="JU3" s="213"/>
      <c r="JV3" s="213"/>
      <c r="JW3" s="213"/>
      <c r="JX3" s="213"/>
      <c r="JY3" s="213"/>
      <c r="JZ3" s="213"/>
      <c r="KA3" s="213"/>
      <c r="KB3" s="213"/>
      <c r="KC3" s="213"/>
      <c r="KD3" s="213"/>
      <c r="KE3" s="213"/>
      <c r="KF3" s="213"/>
      <c r="KG3" s="213"/>
      <c r="KH3" s="213"/>
      <c r="KI3" s="213"/>
      <c r="KJ3" s="213"/>
      <c r="KK3" s="213"/>
      <c r="KL3" s="213"/>
      <c r="KM3" s="213"/>
      <c r="KN3" s="213"/>
      <c r="KO3" s="213"/>
      <c r="KP3" s="213"/>
      <c r="KQ3" s="213"/>
      <c r="KR3" s="213"/>
      <c r="KS3" s="213"/>
      <c r="KT3" s="213"/>
      <c r="KU3" s="213"/>
      <c r="KV3" s="213"/>
      <c r="KW3" s="213"/>
      <c r="KX3" s="213"/>
      <c r="KY3" s="213"/>
      <c r="KZ3" s="213"/>
      <c r="LA3" s="213"/>
      <c r="LB3" s="213"/>
      <c r="LC3" s="213"/>
      <c r="LD3" s="213"/>
      <c r="LE3" s="213"/>
      <c r="LF3" s="213"/>
      <c r="LG3" s="213"/>
      <c r="LH3" s="213"/>
      <c r="LI3" s="213"/>
      <c r="LJ3" s="213"/>
      <c r="LK3" s="213"/>
      <c r="LL3" s="213"/>
      <c r="LM3" s="213"/>
      <c r="LN3" s="213"/>
      <c r="LO3" s="213"/>
      <c r="LP3" s="213"/>
      <c r="LQ3" s="213"/>
      <c r="LR3" s="213"/>
      <c r="LS3" s="213"/>
      <c r="LT3" s="213"/>
      <c r="LU3" s="213"/>
      <c r="LV3" s="213"/>
      <c r="LW3" s="213"/>
      <c r="LX3" s="213"/>
      <c r="LY3" s="213"/>
      <c r="LZ3" s="213"/>
      <c r="MA3" s="213"/>
      <c r="MB3" s="213"/>
      <c r="MC3" s="213"/>
      <c r="MD3" s="213"/>
      <c r="ME3" s="213"/>
      <c r="MF3" s="213"/>
      <c r="MG3" s="213"/>
      <c r="MH3" s="213"/>
      <c r="MI3" s="213"/>
      <c r="MJ3" s="213"/>
      <c r="MK3" s="213"/>
      <c r="ML3" s="213"/>
      <c r="MM3" s="213"/>
      <c r="MN3" s="213"/>
      <c r="MO3" s="213"/>
      <c r="MP3" s="213"/>
      <c r="MQ3" s="213"/>
      <c r="MR3" s="213"/>
      <c r="MS3" s="213"/>
      <c r="MT3" s="213"/>
      <c r="MU3" s="213"/>
      <c r="MV3" s="213"/>
      <c r="MW3" s="213"/>
      <c r="MX3" s="213"/>
      <c r="MY3" s="213"/>
      <c r="MZ3" s="213"/>
      <c r="NA3" s="213"/>
      <c r="NB3" s="213"/>
      <c r="NC3" s="213"/>
      <c r="ND3" s="213"/>
      <c r="NE3" s="214"/>
    </row>
    <row r="4" spans="1:369" ht="15.75" thickBot="1" x14ac:dyDescent="0.3">
      <c r="A4" s="219"/>
      <c r="B4" s="222"/>
      <c r="C4" s="225"/>
      <c r="D4" s="228"/>
      <c r="E4" s="212" t="s">
        <v>105</v>
      </c>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4"/>
      <c r="AJ4" s="212" t="s">
        <v>106</v>
      </c>
      <c r="AK4" s="213"/>
      <c r="AL4" s="213"/>
      <c r="AM4" s="213"/>
      <c r="AN4" s="213"/>
      <c r="AO4" s="213"/>
      <c r="AP4" s="213"/>
      <c r="AQ4" s="213"/>
      <c r="AR4" s="213"/>
      <c r="AS4" s="213"/>
      <c r="AT4" s="213"/>
      <c r="AU4" s="213"/>
      <c r="AV4" s="213"/>
      <c r="AW4" s="213"/>
      <c r="AX4" s="213"/>
      <c r="AY4" s="213"/>
      <c r="AZ4" s="213"/>
      <c r="BA4" s="213"/>
      <c r="BB4" s="213"/>
      <c r="BC4" s="213"/>
      <c r="BD4" s="213"/>
      <c r="BE4" s="213"/>
      <c r="BF4" s="213"/>
      <c r="BG4" s="213"/>
      <c r="BH4" s="213"/>
      <c r="BI4" s="213"/>
      <c r="BJ4" s="213"/>
      <c r="BK4" s="214"/>
      <c r="BL4" s="212" t="s">
        <v>107</v>
      </c>
      <c r="BM4" s="213"/>
      <c r="BN4" s="213"/>
      <c r="BO4" s="213"/>
      <c r="BP4" s="213"/>
      <c r="BQ4" s="213"/>
      <c r="BR4" s="213"/>
      <c r="BS4" s="213"/>
      <c r="BT4" s="213"/>
      <c r="BU4" s="213"/>
      <c r="BV4" s="213"/>
      <c r="BW4" s="213"/>
      <c r="BX4" s="213"/>
      <c r="BY4" s="213"/>
      <c r="BZ4" s="213"/>
      <c r="CA4" s="213"/>
      <c r="CB4" s="213"/>
      <c r="CC4" s="213"/>
      <c r="CD4" s="213"/>
      <c r="CE4" s="213"/>
      <c r="CF4" s="213"/>
      <c r="CG4" s="213"/>
      <c r="CH4" s="213"/>
      <c r="CI4" s="213"/>
      <c r="CJ4" s="213"/>
      <c r="CK4" s="213"/>
      <c r="CL4" s="213"/>
      <c r="CM4" s="213"/>
      <c r="CN4" s="213"/>
      <c r="CO4" s="213"/>
      <c r="CP4" s="214"/>
      <c r="CQ4" s="212" t="s">
        <v>108</v>
      </c>
      <c r="CR4" s="213"/>
      <c r="CS4" s="213"/>
      <c r="CT4" s="213"/>
      <c r="CU4" s="213"/>
      <c r="CV4" s="213"/>
      <c r="CW4" s="213"/>
      <c r="CX4" s="213"/>
      <c r="CY4" s="213"/>
      <c r="CZ4" s="213"/>
      <c r="DA4" s="213"/>
      <c r="DB4" s="213"/>
      <c r="DC4" s="213"/>
      <c r="DD4" s="213"/>
      <c r="DE4" s="213"/>
      <c r="DF4" s="213"/>
      <c r="DG4" s="213"/>
      <c r="DH4" s="213"/>
      <c r="DI4" s="213"/>
      <c r="DJ4" s="213"/>
      <c r="DK4" s="213"/>
      <c r="DL4" s="213"/>
      <c r="DM4" s="213"/>
      <c r="DN4" s="213"/>
      <c r="DO4" s="213"/>
      <c r="DP4" s="213"/>
      <c r="DQ4" s="213"/>
      <c r="DR4" s="213"/>
      <c r="DS4" s="213"/>
      <c r="DT4" s="214"/>
      <c r="DU4" s="212" t="s">
        <v>109</v>
      </c>
      <c r="DV4" s="213"/>
      <c r="DW4" s="213"/>
      <c r="DX4" s="213"/>
      <c r="DY4" s="213"/>
      <c r="DZ4" s="213"/>
      <c r="EA4" s="213"/>
      <c r="EB4" s="213"/>
      <c r="EC4" s="213"/>
      <c r="ED4" s="213"/>
      <c r="EE4" s="213"/>
      <c r="EF4" s="213"/>
      <c r="EG4" s="213"/>
      <c r="EH4" s="213"/>
      <c r="EI4" s="213"/>
      <c r="EJ4" s="213"/>
      <c r="EK4" s="213"/>
      <c r="EL4" s="213"/>
      <c r="EM4" s="213"/>
      <c r="EN4" s="213"/>
      <c r="EO4" s="213"/>
      <c r="EP4" s="213"/>
      <c r="EQ4" s="213"/>
      <c r="ER4" s="213"/>
      <c r="ES4" s="213"/>
      <c r="ET4" s="213"/>
      <c r="EU4" s="213"/>
      <c r="EV4" s="213"/>
      <c r="EW4" s="213"/>
      <c r="EX4" s="213"/>
      <c r="EY4" s="214"/>
      <c r="EZ4" s="212" t="s">
        <v>110</v>
      </c>
      <c r="FA4" s="213"/>
      <c r="FB4" s="213"/>
      <c r="FC4" s="213"/>
      <c r="FD4" s="213"/>
      <c r="FE4" s="213"/>
      <c r="FF4" s="213"/>
      <c r="FG4" s="213"/>
      <c r="FH4" s="213"/>
      <c r="FI4" s="213"/>
      <c r="FJ4" s="213"/>
      <c r="FK4" s="213"/>
      <c r="FL4" s="213"/>
      <c r="FM4" s="213"/>
      <c r="FN4" s="213"/>
      <c r="FO4" s="213"/>
      <c r="FP4" s="213"/>
      <c r="FQ4" s="213"/>
      <c r="FR4" s="213"/>
      <c r="FS4" s="213"/>
      <c r="FT4" s="213"/>
      <c r="FU4" s="213"/>
      <c r="FV4" s="213"/>
      <c r="FW4" s="213"/>
      <c r="FX4" s="213"/>
      <c r="FY4" s="213"/>
      <c r="FZ4" s="213"/>
      <c r="GA4" s="213"/>
      <c r="GB4" s="213"/>
      <c r="GC4" s="214"/>
      <c r="GD4" s="212" t="s">
        <v>111</v>
      </c>
      <c r="GE4" s="213"/>
      <c r="GF4" s="213"/>
      <c r="GG4" s="213"/>
      <c r="GH4" s="213"/>
      <c r="GI4" s="213"/>
      <c r="GJ4" s="213"/>
      <c r="GK4" s="213"/>
      <c r="GL4" s="213"/>
      <c r="GM4" s="213"/>
      <c r="GN4" s="213"/>
      <c r="GO4" s="213"/>
      <c r="GP4" s="213"/>
      <c r="GQ4" s="213"/>
      <c r="GR4" s="213"/>
      <c r="GS4" s="213"/>
      <c r="GT4" s="213"/>
      <c r="GU4" s="213"/>
      <c r="GV4" s="213"/>
      <c r="GW4" s="213"/>
      <c r="GX4" s="213"/>
      <c r="GY4" s="213"/>
      <c r="GZ4" s="213"/>
      <c r="HA4" s="213"/>
      <c r="HB4" s="213"/>
      <c r="HC4" s="213"/>
      <c r="HD4" s="213"/>
      <c r="HE4" s="213"/>
      <c r="HF4" s="213"/>
      <c r="HG4" s="213"/>
      <c r="HH4" s="214"/>
      <c r="HI4" s="212" t="s">
        <v>112</v>
      </c>
      <c r="HJ4" s="213"/>
      <c r="HK4" s="213"/>
      <c r="HL4" s="213"/>
      <c r="HM4" s="213"/>
      <c r="HN4" s="213"/>
      <c r="HO4" s="213"/>
      <c r="HP4" s="213"/>
      <c r="HQ4" s="213"/>
      <c r="HR4" s="213"/>
      <c r="HS4" s="213"/>
      <c r="HT4" s="213"/>
      <c r="HU4" s="213"/>
      <c r="HV4" s="213"/>
      <c r="HW4" s="213"/>
      <c r="HX4" s="213"/>
      <c r="HY4" s="213"/>
      <c r="HZ4" s="213"/>
      <c r="IA4" s="213"/>
      <c r="IB4" s="213"/>
      <c r="IC4" s="213"/>
      <c r="ID4" s="213"/>
      <c r="IE4" s="213"/>
      <c r="IF4" s="213"/>
      <c r="IG4" s="213"/>
      <c r="IH4" s="213"/>
      <c r="II4" s="213"/>
      <c r="IJ4" s="213"/>
      <c r="IK4" s="213"/>
      <c r="IL4" s="213"/>
      <c r="IM4" s="214"/>
      <c r="IN4" s="212" t="s">
        <v>113</v>
      </c>
      <c r="IO4" s="213"/>
      <c r="IP4" s="213"/>
      <c r="IQ4" s="213"/>
      <c r="IR4" s="213"/>
      <c r="IS4" s="213"/>
      <c r="IT4" s="213"/>
      <c r="IU4" s="213"/>
      <c r="IV4" s="213"/>
      <c r="IW4" s="213"/>
      <c r="IX4" s="213"/>
      <c r="IY4" s="213"/>
      <c r="IZ4" s="213"/>
      <c r="JA4" s="213"/>
      <c r="JB4" s="213"/>
      <c r="JC4" s="213"/>
      <c r="JD4" s="213"/>
      <c r="JE4" s="213"/>
      <c r="JF4" s="213"/>
      <c r="JG4" s="213"/>
      <c r="JH4" s="213"/>
      <c r="JI4" s="213"/>
      <c r="JJ4" s="213"/>
      <c r="JK4" s="213"/>
      <c r="JL4" s="213"/>
      <c r="JM4" s="213"/>
      <c r="JN4" s="213"/>
      <c r="JO4" s="213"/>
      <c r="JP4" s="213"/>
      <c r="JQ4" s="214"/>
      <c r="JR4" s="212" t="s">
        <v>114</v>
      </c>
      <c r="JS4" s="213"/>
      <c r="JT4" s="213"/>
      <c r="JU4" s="213"/>
      <c r="JV4" s="213"/>
      <c r="JW4" s="213"/>
      <c r="JX4" s="213"/>
      <c r="JY4" s="213"/>
      <c r="JZ4" s="213"/>
      <c r="KA4" s="213"/>
      <c r="KB4" s="213"/>
      <c r="KC4" s="213"/>
      <c r="KD4" s="213"/>
      <c r="KE4" s="213"/>
      <c r="KF4" s="213"/>
      <c r="KG4" s="213"/>
      <c r="KH4" s="213"/>
      <c r="KI4" s="213"/>
      <c r="KJ4" s="213"/>
      <c r="KK4" s="213"/>
      <c r="KL4" s="213"/>
      <c r="KM4" s="213"/>
      <c r="KN4" s="213"/>
      <c r="KO4" s="213"/>
      <c r="KP4" s="213"/>
      <c r="KQ4" s="213"/>
      <c r="KR4" s="213"/>
      <c r="KS4" s="213"/>
      <c r="KT4" s="213"/>
      <c r="KU4" s="213"/>
      <c r="KV4" s="214"/>
      <c r="KW4" s="212" t="s">
        <v>115</v>
      </c>
      <c r="KX4" s="213"/>
      <c r="KY4" s="213"/>
      <c r="KZ4" s="213"/>
      <c r="LA4" s="213"/>
      <c r="LB4" s="213"/>
      <c r="LC4" s="213"/>
      <c r="LD4" s="213"/>
      <c r="LE4" s="213"/>
      <c r="LF4" s="213"/>
      <c r="LG4" s="213"/>
      <c r="LH4" s="213"/>
      <c r="LI4" s="213"/>
      <c r="LJ4" s="213"/>
      <c r="LK4" s="213"/>
      <c r="LL4" s="213"/>
      <c r="LM4" s="213"/>
      <c r="LN4" s="213"/>
      <c r="LO4" s="213"/>
      <c r="LP4" s="213"/>
      <c r="LQ4" s="213"/>
      <c r="LR4" s="213"/>
      <c r="LS4" s="213"/>
      <c r="LT4" s="213"/>
      <c r="LU4" s="213"/>
      <c r="LV4" s="213"/>
      <c r="LW4" s="213"/>
      <c r="LX4" s="213"/>
      <c r="LY4" s="213"/>
      <c r="LZ4" s="214"/>
      <c r="MA4" s="212" t="s">
        <v>116</v>
      </c>
      <c r="MB4" s="213"/>
      <c r="MC4" s="213"/>
      <c r="MD4" s="213"/>
      <c r="ME4" s="213"/>
      <c r="MF4" s="213"/>
      <c r="MG4" s="213"/>
      <c r="MH4" s="213"/>
      <c r="MI4" s="213"/>
      <c r="MJ4" s="213"/>
      <c r="MK4" s="213"/>
      <c r="ML4" s="213"/>
      <c r="MM4" s="213"/>
      <c r="MN4" s="213"/>
      <c r="MO4" s="213"/>
      <c r="MP4" s="213"/>
      <c r="MQ4" s="213"/>
      <c r="MR4" s="213"/>
      <c r="MS4" s="213"/>
      <c r="MT4" s="213"/>
      <c r="MU4" s="213"/>
      <c r="MV4" s="213"/>
      <c r="MW4" s="213"/>
      <c r="MX4" s="213"/>
      <c r="MY4" s="213"/>
      <c r="MZ4" s="213"/>
      <c r="NA4" s="213"/>
      <c r="NB4" s="213"/>
      <c r="NC4" s="213"/>
      <c r="ND4" s="213"/>
      <c r="NE4" s="214"/>
    </row>
    <row r="5" spans="1:369" ht="15.75" thickBot="1" x14ac:dyDescent="0.3">
      <c r="A5" s="220"/>
      <c r="B5" s="223"/>
      <c r="C5" s="226"/>
      <c r="D5" s="229"/>
      <c r="E5" s="52">
        <v>1</v>
      </c>
      <c r="F5" s="53">
        <v>2</v>
      </c>
      <c r="G5" s="53">
        <v>3</v>
      </c>
      <c r="H5" s="54">
        <v>4</v>
      </c>
      <c r="I5" s="54">
        <v>5</v>
      </c>
      <c r="J5" s="54">
        <v>6</v>
      </c>
      <c r="K5" s="54">
        <v>7</v>
      </c>
      <c r="L5" s="54">
        <v>8</v>
      </c>
      <c r="M5" s="54">
        <v>9</v>
      </c>
      <c r="N5" s="54">
        <v>10</v>
      </c>
      <c r="O5" s="54">
        <v>11</v>
      </c>
      <c r="P5" s="54">
        <v>12</v>
      </c>
      <c r="Q5" s="54">
        <v>13</v>
      </c>
      <c r="R5" s="54">
        <v>14</v>
      </c>
      <c r="S5" s="54">
        <v>15</v>
      </c>
      <c r="T5" s="54">
        <v>16</v>
      </c>
      <c r="U5" s="54">
        <v>17</v>
      </c>
      <c r="V5" s="54">
        <v>18</v>
      </c>
      <c r="W5" s="54">
        <v>19</v>
      </c>
      <c r="X5" s="54">
        <v>20</v>
      </c>
      <c r="Y5" s="54">
        <v>21</v>
      </c>
      <c r="Z5" s="54">
        <v>22</v>
      </c>
      <c r="AA5" s="54">
        <v>23</v>
      </c>
      <c r="AB5" s="54">
        <v>24</v>
      </c>
      <c r="AC5" s="54">
        <v>25</v>
      </c>
      <c r="AD5" s="54">
        <v>26</v>
      </c>
      <c r="AE5" s="54">
        <v>27</v>
      </c>
      <c r="AF5" s="54">
        <v>28</v>
      </c>
      <c r="AG5" s="54">
        <v>29</v>
      </c>
      <c r="AH5" s="54">
        <v>30</v>
      </c>
      <c r="AI5" s="55">
        <v>31</v>
      </c>
      <c r="AJ5" s="56">
        <v>1</v>
      </c>
      <c r="AK5" s="54">
        <v>2</v>
      </c>
      <c r="AL5" s="54">
        <v>3</v>
      </c>
      <c r="AM5" s="54">
        <v>4</v>
      </c>
      <c r="AN5" s="54">
        <v>5</v>
      </c>
      <c r="AO5" s="54">
        <v>6</v>
      </c>
      <c r="AP5" s="54">
        <v>7</v>
      </c>
      <c r="AQ5" s="54">
        <v>8</v>
      </c>
      <c r="AR5" s="54">
        <v>9</v>
      </c>
      <c r="AS5" s="54">
        <v>10</v>
      </c>
      <c r="AT5" s="54">
        <v>11</v>
      </c>
      <c r="AU5" s="54">
        <v>12</v>
      </c>
      <c r="AV5" s="54">
        <v>13</v>
      </c>
      <c r="AW5" s="54">
        <v>14</v>
      </c>
      <c r="AX5" s="54">
        <v>15</v>
      </c>
      <c r="AY5" s="54">
        <v>16</v>
      </c>
      <c r="AZ5" s="54">
        <v>17</v>
      </c>
      <c r="BA5" s="54">
        <v>18</v>
      </c>
      <c r="BB5" s="54">
        <v>19</v>
      </c>
      <c r="BC5" s="54">
        <v>20</v>
      </c>
      <c r="BD5" s="54">
        <v>21</v>
      </c>
      <c r="BE5" s="54">
        <v>22</v>
      </c>
      <c r="BF5" s="54">
        <v>23</v>
      </c>
      <c r="BG5" s="54">
        <v>24</v>
      </c>
      <c r="BH5" s="54">
        <v>25</v>
      </c>
      <c r="BI5" s="54">
        <v>26</v>
      </c>
      <c r="BJ5" s="54">
        <v>27</v>
      </c>
      <c r="BK5" s="55">
        <v>28</v>
      </c>
      <c r="BL5" s="52">
        <v>1</v>
      </c>
      <c r="BM5" s="53">
        <v>2</v>
      </c>
      <c r="BN5" s="53">
        <v>3</v>
      </c>
      <c r="BO5" s="54">
        <v>4</v>
      </c>
      <c r="BP5" s="54">
        <v>5</v>
      </c>
      <c r="BQ5" s="54">
        <v>6</v>
      </c>
      <c r="BR5" s="54">
        <v>7</v>
      </c>
      <c r="BS5" s="54">
        <v>8</v>
      </c>
      <c r="BT5" s="54">
        <v>9</v>
      </c>
      <c r="BU5" s="54">
        <v>10</v>
      </c>
      <c r="BV5" s="54">
        <v>11</v>
      </c>
      <c r="BW5" s="54">
        <v>12</v>
      </c>
      <c r="BX5" s="54">
        <v>13</v>
      </c>
      <c r="BY5" s="54">
        <v>14</v>
      </c>
      <c r="BZ5" s="54">
        <v>15</v>
      </c>
      <c r="CA5" s="54">
        <v>16</v>
      </c>
      <c r="CB5" s="54">
        <v>17</v>
      </c>
      <c r="CC5" s="54">
        <v>18</v>
      </c>
      <c r="CD5" s="54">
        <v>19</v>
      </c>
      <c r="CE5" s="54">
        <v>20</v>
      </c>
      <c r="CF5" s="54">
        <v>21</v>
      </c>
      <c r="CG5" s="54">
        <v>22</v>
      </c>
      <c r="CH5" s="54">
        <v>23</v>
      </c>
      <c r="CI5" s="54">
        <v>24</v>
      </c>
      <c r="CJ5" s="54">
        <v>25</v>
      </c>
      <c r="CK5" s="54">
        <v>26</v>
      </c>
      <c r="CL5" s="54">
        <v>27</v>
      </c>
      <c r="CM5" s="54">
        <v>28</v>
      </c>
      <c r="CN5" s="54">
        <v>29</v>
      </c>
      <c r="CO5" s="54">
        <v>30</v>
      </c>
      <c r="CP5" s="55">
        <v>31</v>
      </c>
      <c r="CQ5" s="56">
        <v>1</v>
      </c>
      <c r="CR5" s="54">
        <v>2</v>
      </c>
      <c r="CS5" s="54">
        <v>3</v>
      </c>
      <c r="CT5" s="54">
        <v>4</v>
      </c>
      <c r="CU5" s="54">
        <v>5</v>
      </c>
      <c r="CV5" s="54">
        <v>6</v>
      </c>
      <c r="CW5" s="54">
        <v>7</v>
      </c>
      <c r="CX5" s="54">
        <v>8</v>
      </c>
      <c r="CY5" s="54">
        <v>9</v>
      </c>
      <c r="CZ5" s="54">
        <v>10</v>
      </c>
      <c r="DA5" s="54">
        <v>11</v>
      </c>
      <c r="DB5" s="54">
        <v>12</v>
      </c>
      <c r="DC5" s="54">
        <v>13</v>
      </c>
      <c r="DD5" s="54">
        <v>14</v>
      </c>
      <c r="DE5" s="54">
        <v>15</v>
      </c>
      <c r="DF5" s="54">
        <v>16</v>
      </c>
      <c r="DG5" s="54">
        <v>17</v>
      </c>
      <c r="DH5" s="54">
        <v>18</v>
      </c>
      <c r="DI5" s="54">
        <v>19</v>
      </c>
      <c r="DJ5" s="54">
        <v>20</v>
      </c>
      <c r="DK5" s="54">
        <v>21</v>
      </c>
      <c r="DL5" s="54">
        <v>22</v>
      </c>
      <c r="DM5" s="54">
        <v>23</v>
      </c>
      <c r="DN5" s="54">
        <v>24</v>
      </c>
      <c r="DO5" s="54">
        <v>25</v>
      </c>
      <c r="DP5" s="54">
        <v>26</v>
      </c>
      <c r="DQ5" s="54">
        <v>27</v>
      </c>
      <c r="DR5" s="54">
        <v>28</v>
      </c>
      <c r="DS5" s="54">
        <v>29</v>
      </c>
      <c r="DT5" s="55">
        <v>30</v>
      </c>
      <c r="DU5" s="52">
        <v>1</v>
      </c>
      <c r="DV5" s="53">
        <v>2</v>
      </c>
      <c r="DW5" s="53">
        <v>3</v>
      </c>
      <c r="DX5" s="54">
        <v>4</v>
      </c>
      <c r="DY5" s="54">
        <v>5</v>
      </c>
      <c r="DZ5" s="54">
        <v>6</v>
      </c>
      <c r="EA5" s="54">
        <v>7</v>
      </c>
      <c r="EB5" s="54">
        <v>8</v>
      </c>
      <c r="EC5" s="54">
        <v>9</v>
      </c>
      <c r="ED5" s="54">
        <v>10</v>
      </c>
      <c r="EE5" s="54">
        <v>11</v>
      </c>
      <c r="EF5" s="54">
        <v>12</v>
      </c>
      <c r="EG5" s="54">
        <v>13</v>
      </c>
      <c r="EH5" s="54">
        <v>14</v>
      </c>
      <c r="EI5" s="54">
        <v>15</v>
      </c>
      <c r="EJ5" s="54">
        <v>16</v>
      </c>
      <c r="EK5" s="54">
        <v>17</v>
      </c>
      <c r="EL5" s="54">
        <v>18</v>
      </c>
      <c r="EM5" s="54">
        <v>19</v>
      </c>
      <c r="EN5" s="54">
        <v>20</v>
      </c>
      <c r="EO5" s="54">
        <v>21</v>
      </c>
      <c r="EP5" s="54">
        <v>22</v>
      </c>
      <c r="EQ5" s="54">
        <v>23</v>
      </c>
      <c r="ER5" s="54">
        <v>24</v>
      </c>
      <c r="ES5" s="54">
        <v>25</v>
      </c>
      <c r="ET5" s="54">
        <v>26</v>
      </c>
      <c r="EU5" s="54">
        <v>27</v>
      </c>
      <c r="EV5" s="54">
        <v>28</v>
      </c>
      <c r="EW5" s="54">
        <v>29</v>
      </c>
      <c r="EX5" s="54">
        <v>30</v>
      </c>
      <c r="EY5" s="55">
        <v>31</v>
      </c>
      <c r="EZ5" s="56">
        <v>1</v>
      </c>
      <c r="FA5" s="54">
        <v>2</v>
      </c>
      <c r="FB5" s="54">
        <v>3</v>
      </c>
      <c r="FC5" s="54">
        <v>4</v>
      </c>
      <c r="FD5" s="54">
        <v>5</v>
      </c>
      <c r="FE5" s="54">
        <v>6</v>
      </c>
      <c r="FF5" s="54">
        <v>7</v>
      </c>
      <c r="FG5" s="54">
        <v>8</v>
      </c>
      <c r="FH5" s="54">
        <v>9</v>
      </c>
      <c r="FI5" s="54">
        <v>10</v>
      </c>
      <c r="FJ5" s="54">
        <v>11</v>
      </c>
      <c r="FK5" s="54">
        <v>12</v>
      </c>
      <c r="FL5" s="54">
        <v>13</v>
      </c>
      <c r="FM5" s="54">
        <v>14</v>
      </c>
      <c r="FN5" s="54">
        <v>15</v>
      </c>
      <c r="FO5" s="54">
        <v>16</v>
      </c>
      <c r="FP5" s="54">
        <v>17</v>
      </c>
      <c r="FQ5" s="54">
        <v>18</v>
      </c>
      <c r="FR5" s="54">
        <v>19</v>
      </c>
      <c r="FS5" s="54">
        <v>20</v>
      </c>
      <c r="FT5" s="54">
        <v>21</v>
      </c>
      <c r="FU5" s="54">
        <v>22</v>
      </c>
      <c r="FV5" s="54">
        <v>23</v>
      </c>
      <c r="FW5" s="54">
        <v>24</v>
      </c>
      <c r="FX5" s="54">
        <v>25</v>
      </c>
      <c r="FY5" s="54">
        <v>26</v>
      </c>
      <c r="FZ5" s="54">
        <v>27</v>
      </c>
      <c r="GA5" s="54">
        <v>28</v>
      </c>
      <c r="GB5" s="54">
        <v>29</v>
      </c>
      <c r="GC5" s="55">
        <v>30</v>
      </c>
      <c r="GD5" s="52">
        <v>1</v>
      </c>
      <c r="GE5" s="53">
        <v>2</v>
      </c>
      <c r="GF5" s="53">
        <v>3</v>
      </c>
      <c r="GG5" s="54">
        <v>4</v>
      </c>
      <c r="GH5" s="54">
        <v>5</v>
      </c>
      <c r="GI5" s="54">
        <v>6</v>
      </c>
      <c r="GJ5" s="54">
        <v>7</v>
      </c>
      <c r="GK5" s="54">
        <v>8</v>
      </c>
      <c r="GL5" s="54">
        <v>9</v>
      </c>
      <c r="GM5" s="54">
        <v>10</v>
      </c>
      <c r="GN5" s="54">
        <v>11</v>
      </c>
      <c r="GO5" s="54">
        <v>12</v>
      </c>
      <c r="GP5" s="54">
        <v>13</v>
      </c>
      <c r="GQ5" s="54">
        <v>14</v>
      </c>
      <c r="GR5" s="54">
        <v>15</v>
      </c>
      <c r="GS5" s="54">
        <v>16</v>
      </c>
      <c r="GT5" s="54">
        <v>17</v>
      </c>
      <c r="GU5" s="54">
        <v>18</v>
      </c>
      <c r="GV5" s="54">
        <v>19</v>
      </c>
      <c r="GW5" s="54">
        <v>20</v>
      </c>
      <c r="GX5" s="54">
        <v>21</v>
      </c>
      <c r="GY5" s="54">
        <v>22</v>
      </c>
      <c r="GZ5" s="54">
        <v>23</v>
      </c>
      <c r="HA5" s="54">
        <v>24</v>
      </c>
      <c r="HB5" s="54">
        <v>25</v>
      </c>
      <c r="HC5" s="54">
        <v>26</v>
      </c>
      <c r="HD5" s="54">
        <v>27</v>
      </c>
      <c r="HE5" s="54">
        <v>28</v>
      </c>
      <c r="HF5" s="54">
        <v>29</v>
      </c>
      <c r="HG5" s="54">
        <v>30</v>
      </c>
      <c r="HH5" s="55">
        <v>31</v>
      </c>
      <c r="HI5" s="52">
        <v>1</v>
      </c>
      <c r="HJ5" s="53">
        <v>2</v>
      </c>
      <c r="HK5" s="53">
        <v>3</v>
      </c>
      <c r="HL5" s="54">
        <v>4</v>
      </c>
      <c r="HM5" s="54">
        <v>5</v>
      </c>
      <c r="HN5" s="54">
        <v>6</v>
      </c>
      <c r="HO5" s="54">
        <v>7</v>
      </c>
      <c r="HP5" s="54">
        <v>8</v>
      </c>
      <c r="HQ5" s="54">
        <v>9</v>
      </c>
      <c r="HR5" s="54">
        <v>10</v>
      </c>
      <c r="HS5" s="54">
        <v>11</v>
      </c>
      <c r="HT5" s="54">
        <v>12</v>
      </c>
      <c r="HU5" s="54">
        <v>13</v>
      </c>
      <c r="HV5" s="54">
        <v>14</v>
      </c>
      <c r="HW5" s="54">
        <v>15</v>
      </c>
      <c r="HX5" s="54">
        <v>16</v>
      </c>
      <c r="HY5" s="54">
        <v>17</v>
      </c>
      <c r="HZ5" s="54">
        <v>18</v>
      </c>
      <c r="IA5" s="54">
        <v>19</v>
      </c>
      <c r="IB5" s="54">
        <v>20</v>
      </c>
      <c r="IC5" s="54">
        <v>21</v>
      </c>
      <c r="ID5" s="54">
        <v>22</v>
      </c>
      <c r="IE5" s="54">
        <v>23</v>
      </c>
      <c r="IF5" s="54">
        <v>24</v>
      </c>
      <c r="IG5" s="54">
        <v>25</v>
      </c>
      <c r="IH5" s="54">
        <v>26</v>
      </c>
      <c r="II5" s="54">
        <v>27</v>
      </c>
      <c r="IJ5" s="54">
        <v>28</v>
      </c>
      <c r="IK5" s="54">
        <v>29</v>
      </c>
      <c r="IL5" s="54">
        <v>30</v>
      </c>
      <c r="IM5" s="55">
        <v>31</v>
      </c>
      <c r="IN5" s="56">
        <v>1</v>
      </c>
      <c r="IO5" s="54">
        <v>2</v>
      </c>
      <c r="IP5" s="54">
        <v>3</v>
      </c>
      <c r="IQ5" s="54">
        <v>4</v>
      </c>
      <c r="IR5" s="54">
        <v>5</v>
      </c>
      <c r="IS5" s="54">
        <v>6</v>
      </c>
      <c r="IT5" s="54">
        <v>7</v>
      </c>
      <c r="IU5" s="54">
        <v>8</v>
      </c>
      <c r="IV5" s="54">
        <v>9</v>
      </c>
      <c r="IW5" s="54">
        <v>10</v>
      </c>
      <c r="IX5" s="54">
        <v>11</v>
      </c>
      <c r="IY5" s="54">
        <v>12</v>
      </c>
      <c r="IZ5" s="54">
        <v>13</v>
      </c>
      <c r="JA5" s="54">
        <v>14</v>
      </c>
      <c r="JB5" s="54">
        <v>15</v>
      </c>
      <c r="JC5" s="54">
        <v>16</v>
      </c>
      <c r="JD5" s="54">
        <v>17</v>
      </c>
      <c r="JE5" s="54">
        <v>18</v>
      </c>
      <c r="JF5" s="54">
        <v>19</v>
      </c>
      <c r="JG5" s="54">
        <v>20</v>
      </c>
      <c r="JH5" s="54">
        <v>21</v>
      </c>
      <c r="JI5" s="54">
        <v>22</v>
      </c>
      <c r="JJ5" s="54">
        <v>23</v>
      </c>
      <c r="JK5" s="54">
        <v>24</v>
      </c>
      <c r="JL5" s="54">
        <v>25</v>
      </c>
      <c r="JM5" s="54">
        <v>26</v>
      </c>
      <c r="JN5" s="54">
        <v>27</v>
      </c>
      <c r="JO5" s="54">
        <v>28</v>
      </c>
      <c r="JP5" s="54">
        <v>29</v>
      </c>
      <c r="JQ5" s="55">
        <v>30</v>
      </c>
      <c r="JR5" s="52">
        <v>1</v>
      </c>
      <c r="JS5" s="53">
        <v>2</v>
      </c>
      <c r="JT5" s="53">
        <v>3</v>
      </c>
      <c r="JU5" s="54">
        <v>4</v>
      </c>
      <c r="JV5" s="54">
        <v>5</v>
      </c>
      <c r="JW5" s="54">
        <v>6</v>
      </c>
      <c r="JX5" s="54">
        <v>7</v>
      </c>
      <c r="JY5" s="54">
        <v>8</v>
      </c>
      <c r="JZ5" s="54">
        <v>9</v>
      </c>
      <c r="KA5" s="54">
        <v>10</v>
      </c>
      <c r="KB5" s="54">
        <v>11</v>
      </c>
      <c r="KC5" s="54">
        <v>12</v>
      </c>
      <c r="KD5" s="54">
        <v>13</v>
      </c>
      <c r="KE5" s="54">
        <v>14</v>
      </c>
      <c r="KF5" s="54">
        <v>15</v>
      </c>
      <c r="KG5" s="54">
        <v>16</v>
      </c>
      <c r="KH5" s="54">
        <v>17</v>
      </c>
      <c r="KI5" s="54">
        <v>18</v>
      </c>
      <c r="KJ5" s="54">
        <v>19</v>
      </c>
      <c r="KK5" s="54">
        <v>20</v>
      </c>
      <c r="KL5" s="54">
        <v>21</v>
      </c>
      <c r="KM5" s="54">
        <v>22</v>
      </c>
      <c r="KN5" s="54">
        <v>23</v>
      </c>
      <c r="KO5" s="54">
        <v>24</v>
      </c>
      <c r="KP5" s="54">
        <v>25</v>
      </c>
      <c r="KQ5" s="54">
        <v>26</v>
      </c>
      <c r="KR5" s="54">
        <v>27</v>
      </c>
      <c r="KS5" s="54">
        <v>28</v>
      </c>
      <c r="KT5" s="54">
        <v>29</v>
      </c>
      <c r="KU5" s="54">
        <v>30</v>
      </c>
      <c r="KV5" s="55">
        <v>31</v>
      </c>
      <c r="KW5" s="56">
        <v>1</v>
      </c>
      <c r="KX5" s="54">
        <v>2</v>
      </c>
      <c r="KY5" s="54">
        <v>3</v>
      </c>
      <c r="KZ5" s="54">
        <v>4</v>
      </c>
      <c r="LA5" s="54">
        <v>5</v>
      </c>
      <c r="LB5" s="54">
        <v>6</v>
      </c>
      <c r="LC5" s="54">
        <v>7</v>
      </c>
      <c r="LD5" s="54">
        <v>8</v>
      </c>
      <c r="LE5" s="54">
        <v>9</v>
      </c>
      <c r="LF5" s="54">
        <v>10</v>
      </c>
      <c r="LG5" s="54">
        <v>11</v>
      </c>
      <c r="LH5" s="54">
        <v>12</v>
      </c>
      <c r="LI5" s="54">
        <v>13</v>
      </c>
      <c r="LJ5" s="54">
        <v>14</v>
      </c>
      <c r="LK5" s="54">
        <v>15</v>
      </c>
      <c r="LL5" s="54">
        <v>16</v>
      </c>
      <c r="LM5" s="54">
        <v>17</v>
      </c>
      <c r="LN5" s="54">
        <v>18</v>
      </c>
      <c r="LO5" s="54">
        <v>19</v>
      </c>
      <c r="LP5" s="54">
        <v>20</v>
      </c>
      <c r="LQ5" s="54">
        <v>21</v>
      </c>
      <c r="LR5" s="54">
        <v>22</v>
      </c>
      <c r="LS5" s="54">
        <v>23</v>
      </c>
      <c r="LT5" s="54">
        <v>24</v>
      </c>
      <c r="LU5" s="54">
        <v>25</v>
      </c>
      <c r="LV5" s="54">
        <v>26</v>
      </c>
      <c r="LW5" s="54">
        <v>27</v>
      </c>
      <c r="LX5" s="54">
        <v>28</v>
      </c>
      <c r="LY5" s="54">
        <v>29</v>
      </c>
      <c r="LZ5" s="55">
        <v>30</v>
      </c>
      <c r="MA5" s="52">
        <v>1</v>
      </c>
      <c r="MB5" s="53">
        <v>2</v>
      </c>
      <c r="MC5" s="53">
        <v>3</v>
      </c>
      <c r="MD5" s="54">
        <v>4</v>
      </c>
      <c r="ME5" s="54">
        <v>5</v>
      </c>
      <c r="MF5" s="54">
        <v>6</v>
      </c>
      <c r="MG5" s="54">
        <v>7</v>
      </c>
      <c r="MH5" s="54">
        <v>8</v>
      </c>
      <c r="MI5" s="54">
        <v>9</v>
      </c>
      <c r="MJ5" s="54">
        <v>10</v>
      </c>
      <c r="MK5" s="54">
        <v>11</v>
      </c>
      <c r="ML5" s="54">
        <v>12</v>
      </c>
      <c r="MM5" s="54">
        <v>13</v>
      </c>
      <c r="MN5" s="54">
        <v>14</v>
      </c>
      <c r="MO5" s="54">
        <v>15</v>
      </c>
      <c r="MP5" s="54">
        <v>16</v>
      </c>
      <c r="MQ5" s="54">
        <v>17</v>
      </c>
      <c r="MR5" s="54">
        <v>18</v>
      </c>
      <c r="MS5" s="54">
        <v>19</v>
      </c>
      <c r="MT5" s="54">
        <v>20</v>
      </c>
      <c r="MU5" s="54">
        <v>21</v>
      </c>
      <c r="MV5" s="54">
        <v>22</v>
      </c>
      <c r="MW5" s="54">
        <v>23</v>
      </c>
      <c r="MX5" s="54">
        <v>24</v>
      </c>
      <c r="MY5" s="54">
        <v>25</v>
      </c>
      <c r="MZ5" s="54">
        <v>26</v>
      </c>
      <c r="NA5" s="54">
        <v>27</v>
      </c>
      <c r="NB5" s="54">
        <v>28</v>
      </c>
      <c r="NC5" s="54">
        <v>29</v>
      </c>
      <c r="ND5" s="54">
        <v>30</v>
      </c>
      <c r="NE5" s="55">
        <v>31</v>
      </c>
    </row>
    <row r="6" spans="1:369" x14ac:dyDescent="0.25">
      <c r="A6" s="57"/>
      <c r="B6" s="58"/>
      <c r="C6" s="59"/>
      <c r="D6" s="59"/>
      <c r="E6" s="60"/>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2"/>
      <c r="AJ6" s="60"/>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2"/>
      <c r="BL6" s="60"/>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2"/>
      <c r="CQ6" s="60"/>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2"/>
      <c r="DU6" s="60"/>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2"/>
      <c r="EZ6" s="60"/>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2"/>
      <c r="GD6" s="60"/>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2"/>
      <c r="HI6" s="60"/>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2"/>
      <c r="IN6" s="60"/>
      <c r="IO6" s="61"/>
      <c r="IP6" s="61"/>
      <c r="IQ6" s="61"/>
      <c r="IR6" s="61"/>
      <c r="IS6" s="61"/>
      <c r="IT6" s="61"/>
      <c r="IU6" s="61"/>
      <c r="IV6" s="61"/>
      <c r="IW6" s="61"/>
      <c r="IX6" s="61"/>
      <c r="IY6" s="61"/>
      <c r="IZ6" s="61"/>
      <c r="JA6" s="61"/>
      <c r="JB6" s="61"/>
      <c r="JC6" s="61"/>
      <c r="JD6" s="61"/>
      <c r="JE6" s="61"/>
      <c r="JF6" s="61"/>
      <c r="JG6" s="61"/>
      <c r="JH6" s="61"/>
      <c r="JI6" s="61"/>
      <c r="JJ6" s="61"/>
      <c r="JK6" s="61"/>
      <c r="JL6" s="61"/>
      <c r="JM6" s="61"/>
      <c r="JN6" s="61"/>
      <c r="JO6" s="61"/>
      <c r="JP6" s="61"/>
      <c r="JQ6" s="62"/>
      <c r="JR6" s="60"/>
      <c r="JS6" s="61"/>
      <c r="JT6" s="61"/>
      <c r="JU6" s="61"/>
      <c r="JV6" s="61"/>
      <c r="JW6" s="61"/>
      <c r="JX6" s="61"/>
      <c r="JY6" s="61"/>
      <c r="JZ6" s="61"/>
      <c r="KA6" s="61"/>
      <c r="KB6" s="61"/>
      <c r="KC6" s="61"/>
      <c r="KD6" s="61"/>
      <c r="KE6" s="61"/>
      <c r="KF6" s="61"/>
      <c r="KG6" s="61"/>
      <c r="KH6" s="61"/>
      <c r="KI6" s="61"/>
      <c r="KJ6" s="61"/>
      <c r="KK6" s="61"/>
      <c r="KL6" s="61"/>
      <c r="KM6" s="61"/>
      <c r="KN6" s="61"/>
      <c r="KO6" s="61"/>
      <c r="KP6" s="61"/>
      <c r="KQ6" s="61"/>
      <c r="KR6" s="61"/>
      <c r="KS6" s="61"/>
      <c r="KT6" s="61"/>
      <c r="KU6" s="61"/>
      <c r="KV6" s="62"/>
      <c r="KW6" s="60"/>
      <c r="KX6" s="61"/>
      <c r="KY6" s="61"/>
      <c r="KZ6" s="61"/>
      <c r="LA6" s="61"/>
      <c r="LB6" s="61"/>
      <c r="LC6" s="61"/>
      <c r="LD6" s="61"/>
      <c r="LE6" s="61"/>
      <c r="LF6" s="61"/>
      <c r="LG6" s="61"/>
      <c r="LH6" s="61"/>
      <c r="LI6" s="61"/>
      <c r="LJ6" s="61"/>
      <c r="LK6" s="61"/>
      <c r="LL6" s="61"/>
      <c r="LM6" s="61"/>
      <c r="LN6" s="61"/>
      <c r="LO6" s="61"/>
      <c r="LP6" s="61"/>
      <c r="LQ6" s="61"/>
      <c r="LR6" s="61"/>
      <c r="LS6" s="61"/>
      <c r="LT6" s="61"/>
      <c r="LU6" s="61"/>
      <c r="LV6" s="61"/>
      <c r="LW6" s="61"/>
      <c r="LX6" s="61"/>
      <c r="LY6" s="61"/>
      <c r="LZ6" s="62"/>
      <c r="MA6" s="60"/>
      <c r="MB6" s="61"/>
      <c r="MC6" s="61"/>
      <c r="MD6" s="61"/>
      <c r="ME6" s="61"/>
      <c r="MF6" s="61"/>
      <c r="MG6" s="61"/>
      <c r="MH6" s="61"/>
      <c r="MI6" s="61"/>
      <c r="MJ6" s="61"/>
      <c r="MK6" s="61"/>
      <c r="ML6" s="61"/>
      <c r="MM6" s="61"/>
      <c r="MN6" s="61"/>
      <c r="MO6" s="61"/>
      <c r="MP6" s="61"/>
      <c r="MQ6" s="61"/>
      <c r="MR6" s="61"/>
      <c r="MS6" s="61"/>
      <c r="MT6" s="61"/>
      <c r="MU6" s="61"/>
      <c r="MV6" s="61"/>
      <c r="MW6" s="61"/>
      <c r="MX6" s="61"/>
      <c r="MY6" s="61"/>
      <c r="MZ6" s="61"/>
      <c r="NA6" s="61"/>
      <c r="NB6" s="61"/>
      <c r="NC6" s="61"/>
      <c r="ND6" s="61"/>
      <c r="NE6" s="62"/>
    </row>
    <row r="7" spans="1:369" x14ac:dyDescent="0.25">
      <c r="A7" s="63"/>
      <c r="B7" s="64"/>
      <c r="C7" s="65"/>
      <c r="D7" s="65"/>
      <c r="E7" s="66"/>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8"/>
      <c r="AJ7" s="66"/>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8"/>
      <c r="BL7" s="66"/>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8"/>
      <c r="CQ7" s="66"/>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8"/>
      <c r="DU7" s="66"/>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8"/>
      <c r="EZ7" s="66"/>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8"/>
      <c r="GD7" s="66"/>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8"/>
      <c r="HI7" s="66"/>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8"/>
      <c r="IN7" s="66"/>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8"/>
      <c r="JR7" s="66"/>
      <c r="JS7" s="67"/>
      <c r="JT7" s="67"/>
      <c r="JU7" s="67"/>
      <c r="JV7" s="67"/>
      <c r="JW7" s="67"/>
      <c r="JX7" s="67"/>
      <c r="JY7" s="67"/>
      <c r="JZ7" s="67"/>
      <c r="KA7" s="67"/>
      <c r="KB7" s="67"/>
      <c r="KC7" s="67"/>
      <c r="KD7" s="67"/>
      <c r="KE7" s="67"/>
      <c r="KF7" s="67"/>
      <c r="KG7" s="67"/>
      <c r="KH7" s="67"/>
      <c r="KI7" s="67"/>
      <c r="KJ7" s="67"/>
      <c r="KK7" s="67"/>
      <c r="KL7" s="67"/>
      <c r="KM7" s="67"/>
      <c r="KN7" s="67"/>
      <c r="KO7" s="67"/>
      <c r="KP7" s="67"/>
      <c r="KQ7" s="67"/>
      <c r="KR7" s="67"/>
      <c r="KS7" s="67"/>
      <c r="KT7" s="67"/>
      <c r="KU7" s="67"/>
      <c r="KV7" s="68"/>
      <c r="KW7" s="66"/>
      <c r="KX7" s="67"/>
      <c r="KY7" s="67"/>
      <c r="KZ7" s="67"/>
      <c r="LA7" s="67"/>
      <c r="LB7" s="67"/>
      <c r="LC7" s="67"/>
      <c r="LD7" s="67"/>
      <c r="LE7" s="67"/>
      <c r="LF7" s="67"/>
      <c r="LG7" s="67"/>
      <c r="LH7" s="67"/>
      <c r="LI7" s="67"/>
      <c r="LJ7" s="67"/>
      <c r="LK7" s="67"/>
      <c r="LL7" s="67"/>
      <c r="LM7" s="67"/>
      <c r="LN7" s="67"/>
      <c r="LO7" s="67"/>
      <c r="LP7" s="67"/>
      <c r="LQ7" s="67"/>
      <c r="LR7" s="67"/>
      <c r="LS7" s="67"/>
      <c r="LT7" s="67"/>
      <c r="LU7" s="67"/>
      <c r="LV7" s="67"/>
      <c r="LW7" s="67"/>
      <c r="LX7" s="67"/>
      <c r="LY7" s="67"/>
      <c r="LZ7" s="68"/>
      <c r="MA7" s="66"/>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8"/>
    </row>
    <row r="8" spans="1:369" x14ac:dyDescent="0.25">
      <c r="A8" s="57"/>
      <c r="B8" s="64"/>
      <c r="C8" s="65"/>
      <c r="D8" s="65"/>
      <c r="E8" s="66"/>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8"/>
      <c r="AJ8" s="66"/>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8"/>
      <c r="BL8" s="66"/>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8"/>
      <c r="CQ8" s="66"/>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8"/>
      <c r="DU8" s="66"/>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8"/>
      <c r="EZ8" s="66"/>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8"/>
      <c r="GD8" s="66"/>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8"/>
      <c r="HI8" s="66"/>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8"/>
      <c r="IN8" s="66"/>
      <c r="IO8" s="67"/>
      <c r="IP8" s="67"/>
      <c r="IQ8" s="67"/>
      <c r="IR8" s="67"/>
      <c r="IS8" s="67"/>
      <c r="IT8" s="67"/>
      <c r="IU8" s="67"/>
      <c r="IV8" s="67"/>
      <c r="IW8" s="67"/>
      <c r="IX8" s="67"/>
      <c r="IY8" s="67"/>
      <c r="IZ8" s="67"/>
      <c r="JA8" s="67"/>
      <c r="JB8" s="67"/>
      <c r="JC8" s="67"/>
      <c r="JD8" s="67"/>
      <c r="JE8" s="67"/>
      <c r="JF8" s="67"/>
      <c r="JG8" s="67"/>
      <c r="JH8" s="67"/>
      <c r="JI8" s="67"/>
      <c r="JJ8" s="67"/>
      <c r="JK8" s="67"/>
      <c r="JL8" s="67"/>
      <c r="JM8" s="67"/>
      <c r="JN8" s="67"/>
      <c r="JO8" s="67"/>
      <c r="JP8" s="67"/>
      <c r="JQ8" s="68"/>
      <c r="JR8" s="66"/>
      <c r="JS8" s="67"/>
      <c r="JT8" s="67"/>
      <c r="JU8" s="67"/>
      <c r="JV8" s="67"/>
      <c r="JW8" s="67"/>
      <c r="JX8" s="67"/>
      <c r="JY8" s="67"/>
      <c r="JZ8" s="67"/>
      <c r="KA8" s="67"/>
      <c r="KB8" s="67"/>
      <c r="KC8" s="67"/>
      <c r="KD8" s="67"/>
      <c r="KE8" s="67"/>
      <c r="KF8" s="67"/>
      <c r="KG8" s="67"/>
      <c r="KH8" s="67"/>
      <c r="KI8" s="67"/>
      <c r="KJ8" s="67"/>
      <c r="KK8" s="67"/>
      <c r="KL8" s="67"/>
      <c r="KM8" s="67"/>
      <c r="KN8" s="67"/>
      <c r="KO8" s="67"/>
      <c r="KP8" s="67"/>
      <c r="KQ8" s="67"/>
      <c r="KR8" s="67"/>
      <c r="KS8" s="67"/>
      <c r="KT8" s="67"/>
      <c r="KU8" s="67"/>
      <c r="KV8" s="68"/>
      <c r="KW8" s="66"/>
      <c r="KX8" s="67"/>
      <c r="KY8" s="67"/>
      <c r="KZ8" s="67"/>
      <c r="LA8" s="67"/>
      <c r="LB8" s="67"/>
      <c r="LC8" s="67"/>
      <c r="LD8" s="67"/>
      <c r="LE8" s="67"/>
      <c r="LF8" s="67"/>
      <c r="LG8" s="67"/>
      <c r="LH8" s="67"/>
      <c r="LI8" s="67"/>
      <c r="LJ8" s="67"/>
      <c r="LK8" s="67"/>
      <c r="LL8" s="67"/>
      <c r="LM8" s="67"/>
      <c r="LN8" s="67"/>
      <c r="LO8" s="67"/>
      <c r="LP8" s="67"/>
      <c r="LQ8" s="67"/>
      <c r="LR8" s="67"/>
      <c r="LS8" s="67"/>
      <c r="LT8" s="67"/>
      <c r="LU8" s="67"/>
      <c r="LV8" s="67"/>
      <c r="LW8" s="67"/>
      <c r="LX8" s="67"/>
      <c r="LY8" s="67"/>
      <c r="LZ8" s="68"/>
      <c r="MA8" s="66"/>
      <c r="MB8" s="67"/>
      <c r="MC8" s="67"/>
      <c r="MD8" s="67"/>
      <c r="ME8" s="67"/>
      <c r="MF8" s="67"/>
      <c r="MG8" s="67"/>
      <c r="MH8" s="67"/>
      <c r="MI8" s="67"/>
      <c r="MJ8" s="67"/>
      <c r="MK8" s="67"/>
      <c r="ML8" s="67"/>
      <c r="MM8" s="67"/>
      <c r="MN8" s="67"/>
      <c r="MO8" s="67"/>
      <c r="MP8" s="67"/>
      <c r="MQ8" s="67"/>
      <c r="MR8" s="67"/>
      <c r="MS8" s="67"/>
      <c r="MT8" s="67"/>
      <c r="MU8" s="67"/>
      <c r="MV8" s="67"/>
      <c r="MW8" s="67"/>
      <c r="MX8" s="67"/>
      <c r="MY8" s="67"/>
      <c r="MZ8" s="67"/>
      <c r="NA8" s="67"/>
      <c r="NB8" s="67"/>
      <c r="NC8" s="67"/>
      <c r="ND8" s="67"/>
      <c r="NE8" s="68"/>
    </row>
    <row r="9" spans="1:369" x14ac:dyDescent="0.25">
      <c r="A9" s="63"/>
      <c r="B9" s="64"/>
      <c r="C9" s="65"/>
      <c r="D9" s="65"/>
      <c r="E9" s="66"/>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8"/>
      <c r="AJ9" s="66"/>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8"/>
      <c r="BL9" s="66"/>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8"/>
      <c r="CQ9" s="66"/>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8"/>
      <c r="DU9" s="66"/>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8"/>
      <c r="EZ9" s="66"/>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8"/>
      <c r="GD9" s="66"/>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8"/>
      <c r="HI9" s="66"/>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8"/>
      <c r="IN9" s="66"/>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8"/>
      <c r="JR9" s="66"/>
      <c r="JS9" s="67"/>
      <c r="JT9" s="67"/>
      <c r="JU9" s="67"/>
      <c r="JV9" s="67"/>
      <c r="JW9" s="67"/>
      <c r="JX9" s="67"/>
      <c r="JY9" s="67"/>
      <c r="JZ9" s="67"/>
      <c r="KA9" s="67"/>
      <c r="KB9" s="67"/>
      <c r="KC9" s="67"/>
      <c r="KD9" s="67"/>
      <c r="KE9" s="67"/>
      <c r="KF9" s="67"/>
      <c r="KG9" s="67"/>
      <c r="KH9" s="67"/>
      <c r="KI9" s="67"/>
      <c r="KJ9" s="67"/>
      <c r="KK9" s="67"/>
      <c r="KL9" s="67"/>
      <c r="KM9" s="67"/>
      <c r="KN9" s="67"/>
      <c r="KO9" s="67"/>
      <c r="KP9" s="67"/>
      <c r="KQ9" s="67"/>
      <c r="KR9" s="67"/>
      <c r="KS9" s="67"/>
      <c r="KT9" s="67"/>
      <c r="KU9" s="67"/>
      <c r="KV9" s="68"/>
      <c r="KW9" s="66"/>
      <c r="KX9" s="67"/>
      <c r="KY9" s="67"/>
      <c r="KZ9" s="67"/>
      <c r="LA9" s="67"/>
      <c r="LB9" s="67"/>
      <c r="LC9" s="67"/>
      <c r="LD9" s="67"/>
      <c r="LE9" s="67"/>
      <c r="LF9" s="67"/>
      <c r="LG9" s="67"/>
      <c r="LH9" s="67"/>
      <c r="LI9" s="67"/>
      <c r="LJ9" s="67"/>
      <c r="LK9" s="67"/>
      <c r="LL9" s="67"/>
      <c r="LM9" s="67"/>
      <c r="LN9" s="67"/>
      <c r="LO9" s="67"/>
      <c r="LP9" s="67"/>
      <c r="LQ9" s="67"/>
      <c r="LR9" s="67"/>
      <c r="LS9" s="67"/>
      <c r="LT9" s="67"/>
      <c r="LU9" s="67"/>
      <c r="LV9" s="67"/>
      <c r="LW9" s="67"/>
      <c r="LX9" s="67"/>
      <c r="LY9" s="67"/>
      <c r="LZ9" s="68"/>
      <c r="MA9" s="66"/>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8"/>
    </row>
    <row r="10" spans="1:369" x14ac:dyDescent="0.25">
      <c r="A10" s="57"/>
      <c r="B10" s="64"/>
      <c r="C10" s="65"/>
      <c r="D10" s="65"/>
      <c r="E10" s="66"/>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8"/>
      <c r="AJ10" s="66"/>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8"/>
      <c r="BL10" s="66"/>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8"/>
      <c r="CQ10" s="66"/>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8"/>
      <c r="DU10" s="66"/>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8"/>
      <c r="EZ10" s="66"/>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8"/>
      <c r="GD10" s="66"/>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8"/>
      <c r="HI10" s="66"/>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8"/>
      <c r="IN10" s="66"/>
      <c r="IO10" s="67"/>
      <c r="IP10" s="67"/>
      <c r="IQ10" s="67"/>
      <c r="IR10" s="67"/>
      <c r="IS10" s="67"/>
      <c r="IT10" s="67"/>
      <c r="IU10" s="67"/>
      <c r="IV10" s="67"/>
      <c r="IW10" s="67"/>
      <c r="IX10" s="67"/>
      <c r="IY10" s="67"/>
      <c r="IZ10" s="67"/>
      <c r="JA10" s="67"/>
      <c r="JB10" s="67"/>
      <c r="JC10" s="67"/>
      <c r="JD10" s="67"/>
      <c r="JE10" s="67"/>
      <c r="JF10" s="67"/>
      <c r="JG10" s="67"/>
      <c r="JH10" s="67"/>
      <c r="JI10" s="67"/>
      <c r="JJ10" s="67"/>
      <c r="JK10" s="67"/>
      <c r="JL10" s="67"/>
      <c r="JM10" s="67"/>
      <c r="JN10" s="67"/>
      <c r="JO10" s="67"/>
      <c r="JP10" s="67"/>
      <c r="JQ10" s="68"/>
      <c r="JR10" s="66"/>
      <c r="JS10" s="67"/>
      <c r="JT10" s="67"/>
      <c r="JU10" s="67"/>
      <c r="JV10" s="67"/>
      <c r="JW10" s="67"/>
      <c r="JX10" s="67"/>
      <c r="JY10" s="67"/>
      <c r="JZ10" s="67"/>
      <c r="KA10" s="67"/>
      <c r="KB10" s="67"/>
      <c r="KC10" s="67"/>
      <c r="KD10" s="67"/>
      <c r="KE10" s="67"/>
      <c r="KF10" s="67"/>
      <c r="KG10" s="67"/>
      <c r="KH10" s="67"/>
      <c r="KI10" s="67"/>
      <c r="KJ10" s="67"/>
      <c r="KK10" s="67"/>
      <c r="KL10" s="67"/>
      <c r="KM10" s="67"/>
      <c r="KN10" s="67"/>
      <c r="KO10" s="67"/>
      <c r="KP10" s="67"/>
      <c r="KQ10" s="67"/>
      <c r="KR10" s="67"/>
      <c r="KS10" s="67"/>
      <c r="KT10" s="67"/>
      <c r="KU10" s="67"/>
      <c r="KV10" s="68"/>
      <c r="KW10" s="66"/>
      <c r="KX10" s="67"/>
      <c r="KY10" s="67"/>
      <c r="KZ10" s="67"/>
      <c r="LA10" s="67"/>
      <c r="LB10" s="67"/>
      <c r="LC10" s="67"/>
      <c r="LD10" s="67"/>
      <c r="LE10" s="67"/>
      <c r="LF10" s="67"/>
      <c r="LG10" s="67"/>
      <c r="LH10" s="67"/>
      <c r="LI10" s="67"/>
      <c r="LJ10" s="67"/>
      <c r="LK10" s="67"/>
      <c r="LL10" s="67"/>
      <c r="LM10" s="67"/>
      <c r="LN10" s="67"/>
      <c r="LO10" s="67"/>
      <c r="LP10" s="67"/>
      <c r="LQ10" s="67"/>
      <c r="LR10" s="67"/>
      <c r="LS10" s="67"/>
      <c r="LT10" s="67"/>
      <c r="LU10" s="67"/>
      <c r="LV10" s="67"/>
      <c r="LW10" s="67"/>
      <c r="LX10" s="67"/>
      <c r="LY10" s="67"/>
      <c r="LZ10" s="68"/>
      <c r="MA10" s="66"/>
      <c r="MB10" s="67"/>
      <c r="MC10" s="67"/>
      <c r="MD10" s="67"/>
      <c r="ME10" s="67"/>
      <c r="MF10" s="67"/>
      <c r="MG10" s="67"/>
      <c r="MH10" s="67"/>
      <c r="MI10" s="67"/>
      <c r="MJ10" s="67"/>
      <c r="MK10" s="67"/>
      <c r="ML10" s="67"/>
      <c r="MM10" s="67"/>
      <c r="MN10" s="67"/>
      <c r="MO10" s="67"/>
      <c r="MP10" s="67"/>
      <c r="MQ10" s="67"/>
      <c r="MR10" s="67"/>
      <c r="MS10" s="67"/>
      <c r="MT10" s="67"/>
      <c r="MU10" s="67"/>
      <c r="MV10" s="67"/>
      <c r="MW10" s="67"/>
      <c r="MX10" s="67"/>
      <c r="MY10" s="67"/>
      <c r="MZ10" s="67"/>
      <c r="NA10" s="67"/>
      <c r="NB10" s="67"/>
      <c r="NC10" s="67"/>
      <c r="ND10" s="67"/>
      <c r="NE10" s="68"/>
    </row>
    <row r="11" spans="1:369" x14ac:dyDescent="0.25">
      <c r="A11" s="63"/>
      <c r="B11" s="64"/>
      <c r="C11" s="65"/>
      <c r="D11" s="65"/>
      <c r="E11" s="66"/>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8"/>
      <c r="AJ11" s="66"/>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8"/>
      <c r="BL11" s="66"/>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8"/>
      <c r="CQ11" s="66"/>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8"/>
      <c r="DU11" s="66"/>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8"/>
      <c r="EZ11" s="66"/>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8"/>
      <c r="GD11" s="66"/>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8"/>
      <c r="HI11" s="66"/>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c r="IJ11" s="67"/>
      <c r="IK11" s="67"/>
      <c r="IL11" s="67"/>
      <c r="IM11" s="68"/>
      <c r="IN11" s="66"/>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8"/>
      <c r="JR11" s="66"/>
      <c r="JS11" s="67"/>
      <c r="JT11" s="67"/>
      <c r="JU11" s="67"/>
      <c r="JV11" s="67"/>
      <c r="JW11" s="67"/>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8"/>
      <c r="KW11" s="66"/>
      <c r="KX11" s="67"/>
      <c r="KY11" s="67"/>
      <c r="KZ11" s="67"/>
      <c r="LA11" s="67"/>
      <c r="LB11" s="67"/>
      <c r="LC11" s="67"/>
      <c r="LD11" s="67"/>
      <c r="LE11" s="67"/>
      <c r="LF11" s="67"/>
      <c r="LG11" s="67"/>
      <c r="LH11" s="67"/>
      <c r="LI11" s="67"/>
      <c r="LJ11" s="67"/>
      <c r="LK11" s="67"/>
      <c r="LL11" s="67"/>
      <c r="LM11" s="67"/>
      <c r="LN11" s="67"/>
      <c r="LO11" s="67"/>
      <c r="LP11" s="67"/>
      <c r="LQ11" s="67"/>
      <c r="LR11" s="67"/>
      <c r="LS11" s="67"/>
      <c r="LT11" s="67"/>
      <c r="LU11" s="67"/>
      <c r="LV11" s="67"/>
      <c r="LW11" s="67"/>
      <c r="LX11" s="67"/>
      <c r="LY11" s="67"/>
      <c r="LZ11" s="68"/>
      <c r="MA11" s="66"/>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8"/>
    </row>
    <row r="12" spans="1:369" x14ac:dyDescent="0.25">
      <c r="A12" s="57"/>
      <c r="B12" s="64"/>
      <c r="C12" s="65"/>
      <c r="D12" s="65"/>
      <c r="E12" s="66"/>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8"/>
      <c r="AJ12" s="66"/>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8"/>
      <c r="BL12" s="66"/>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8"/>
      <c r="CQ12" s="66"/>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8"/>
      <c r="DU12" s="66"/>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8"/>
      <c r="EZ12" s="66"/>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8"/>
      <c r="GD12" s="66"/>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8"/>
      <c r="HI12" s="66"/>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c r="IH12" s="67"/>
      <c r="II12" s="67"/>
      <c r="IJ12" s="67"/>
      <c r="IK12" s="67"/>
      <c r="IL12" s="67"/>
      <c r="IM12" s="68"/>
      <c r="IN12" s="66"/>
      <c r="IO12" s="67"/>
      <c r="IP12" s="67"/>
      <c r="IQ12" s="67"/>
      <c r="IR12" s="67"/>
      <c r="IS12" s="67"/>
      <c r="IT12" s="67"/>
      <c r="IU12" s="67"/>
      <c r="IV12" s="67"/>
      <c r="IW12" s="67"/>
      <c r="IX12" s="67"/>
      <c r="IY12" s="67"/>
      <c r="IZ12" s="67"/>
      <c r="JA12" s="67"/>
      <c r="JB12" s="67"/>
      <c r="JC12" s="67"/>
      <c r="JD12" s="67"/>
      <c r="JE12" s="67"/>
      <c r="JF12" s="67"/>
      <c r="JG12" s="67"/>
      <c r="JH12" s="67"/>
      <c r="JI12" s="67"/>
      <c r="JJ12" s="67"/>
      <c r="JK12" s="67"/>
      <c r="JL12" s="67"/>
      <c r="JM12" s="67"/>
      <c r="JN12" s="67"/>
      <c r="JO12" s="67"/>
      <c r="JP12" s="67"/>
      <c r="JQ12" s="68"/>
      <c r="JR12" s="66"/>
      <c r="JS12" s="67"/>
      <c r="JT12" s="67"/>
      <c r="JU12" s="67"/>
      <c r="JV12" s="67"/>
      <c r="JW12" s="67"/>
      <c r="JX12" s="67"/>
      <c r="JY12" s="67"/>
      <c r="JZ12" s="67"/>
      <c r="KA12" s="67"/>
      <c r="KB12" s="67"/>
      <c r="KC12" s="67"/>
      <c r="KD12" s="67"/>
      <c r="KE12" s="67"/>
      <c r="KF12" s="67"/>
      <c r="KG12" s="67"/>
      <c r="KH12" s="67"/>
      <c r="KI12" s="67"/>
      <c r="KJ12" s="67"/>
      <c r="KK12" s="67"/>
      <c r="KL12" s="67"/>
      <c r="KM12" s="67"/>
      <c r="KN12" s="67"/>
      <c r="KO12" s="67"/>
      <c r="KP12" s="67"/>
      <c r="KQ12" s="67"/>
      <c r="KR12" s="67"/>
      <c r="KS12" s="67"/>
      <c r="KT12" s="67"/>
      <c r="KU12" s="67"/>
      <c r="KV12" s="68"/>
      <c r="KW12" s="66"/>
      <c r="KX12" s="67"/>
      <c r="KY12" s="67"/>
      <c r="KZ12" s="67"/>
      <c r="LA12" s="67"/>
      <c r="LB12" s="67"/>
      <c r="LC12" s="67"/>
      <c r="LD12" s="67"/>
      <c r="LE12" s="67"/>
      <c r="LF12" s="67"/>
      <c r="LG12" s="67"/>
      <c r="LH12" s="67"/>
      <c r="LI12" s="67"/>
      <c r="LJ12" s="67"/>
      <c r="LK12" s="67"/>
      <c r="LL12" s="67"/>
      <c r="LM12" s="67"/>
      <c r="LN12" s="67"/>
      <c r="LO12" s="67"/>
      <c r="LP12" s="67"/>
      <c r="LQ12" s="67"/>
      <c r="LR12" s="67"/>
      <c r="LS12" s="67"/>
      <c r="LT12" s="67"/>
      <c r="LU12" s="67"/>
      <c r="LV12" s="67"/>
      <c r="LW12" s="67"/>
      <c r="LX12" s="67"/>
      <c r="LY12" s="67"/>
      <c r="LZ12" s="68"/>
      <c r="MA12" s="66"/>
      <c r="MB12" s="67"/>
      <c r="MC12" s="67"/>
      <c r="MD12" s="67"/>
      <c r="ME12" s="67"/>
      <c r="MF12" s="67"/>
      <c r="MG12" s="67"/>
      <c r="MH12" s="67"/>
      <c r="MI12" s="67"/>
      <c r="MJ12" s="67"/>
      <c r="MK12" s="67"/>
      <c r="ML12" s="67"/>
      <c r="MM12" s="67"/>
      <c r="MN12" s="67"/>
      <c r="MO12" s="67"/>
      <c r="MP12" s="67"/>
      <c r="MQ12" s="67"/>
      <c r="MR12" s="67"/>
      <c r="MS12" s="67"/>
      <c r="MT12" s="67"/>
      <c r="MU12" s="67"/>
      <c r="MV12" s="67"/>
      <c r="MW12" s="67"/>
      <c r="MX12" s="67"/>
      <c r="MY12" s="67"/>
      <c r="MZ12" s="67"/>
      <c r="NA12" s="67"/>
      <c r="NB12" s="67"/>
      <c r="NC12" s="67"/>
      <c r="ND12" s="67"/>
      <c r="NE12" s="68"/>
    </row>
    <row r="13" spans="1:369" x14ac:dyDescent="0.25">
      <c r="A13" s="63"/>
      <c r="B13" s="64"/>
      <c r="C13" s="65"/>
      <c r="D13" s="65"/>
      <c r="E13" s="66"/>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8"/>
      <c r="AJ13" s="66"/>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8"/>
      <c r="BL13" s="66"/>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8"/>
      <c r="CQ13" s="66"/>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8"/>
      <c r="DU13" s="66"/>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8"/>
      <c r="EZ13" s="66"/>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8"/>
      <c r="GD13" s="66"/>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8"/>
      <c r="HI13" s="66"/>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c r="IH13" s="67"/>
      <c r="II13" s="67"/>
      <c r="IJ13" s="67"/>
      <c r="IK13" s="67"/>
      <c r="IL13" s="67"/>
      <c r="IM13" s="68"/>
      <c r="IN13" s="66"/>
      <c r="IO13" s="67"/>
      <c r="IP13" s="67"/>
      <c r="IQ13" s="67"/>
      <c r="IR13" s="67"/>
      <c r="IS13" s="67"/>
      <c r="IT13" s="67"/>
      <c r="IU13" s="67"/>
      <c r="IV13" s="67"/>
      <c r="IW13" s="67"/>
      <c r="IX13" s="67"/>
      <c r="IY13" s="67"/>
      <c r="IZ13" s="67"/>
      <c r="JA13" s="67"/>
      <c r="JB13" s="67"/>
      <c r="JC13" s="67"/>
      <c r="JD13" s="67"/>
      <c r="JE13" s="67"/>
      <c r="JF13" s="67"/>
      <c r="JG13" s="67"/>
      <c r="JH13" s="67"/>
      <c r="JI13" s="67"/>
      <c r="JJ13" s="67"/>
      <c r="JK13" s="67"/>
      <c r="JL13" s="67"/>
      <c r="JM13" s="67"/>
      <c r="JN13" s="67"/>
      <c r="JO13" s="67"/>
      <c r="JP13" s="67"/>
      <c r="JQ13" s="68"/>
      <c r="JR13" s="66"/>
      <c r="JS13" s="67"/>
      <c r="JT13" s="67"/>
      <c r="JU13" s="67"/>
      <c r="JV13" s="67"/>
      <c r="JW13" s="67"/>
      <c r="JX13" s="67"/>
      <c r="JY13" s="67"/>
      <c r="JZ13" s="67"/>
      <c r="KA13" s="67"/>
      <c r="KB13" s="67"/>
      <c r="KC13" s="67"/>
      <c r="KD13" s="67"/>
      <c r="KE13" s="67"/>
      <c r="KF13" s="67"/>
      <c r="KG13" s="67"/>
      <c r="KH13" s="67"/>
      <c r="KI13" s="67"/>
      <c r="KJ13" s="67"/>
      <c r="KK13" s="67"/>
      <c r="KL13" s="67"/>
      <c r="KM13" s="67"/>
      <c r="KN13" s="67"/>
      <c r="KO13" s="67"/>
      <c r="KP13" s="67"/>
      <c r="KQ13" s="67"/>
      <c r="KR13" s="67"/>
      <c r="KS13" s="67"/>
      <c r="KT13" s="67"/>
      <c r="KU13" s="67"/>
      <c r="KV13" s="68"/>
      <c r="KW13" s="66"/>
      <c r="KX13" s="67"/>
      <c r="KY13" s="67"/>
      <c r="KZ13" s="67"/>
      <c r="LA13" s="67"/>
      <c r="LB13" s="67"/>
      <c r="LC13" s="67"/>
      <c r="LD13" s="67"/>
      <c r="LE13" s="67"/>
      <c r="LF13" s="67"/>
      <c r="LG13" s="67"/>
      <c r="LH13" s="67"/>
      <c r="LI13" s="67"/>
      <c r="LJ13" s="67"/>
      <c r="LK13" s="67"/>
      <c r="LL13" s="67"/>
      <c r="LM13" s="67"/>
      <c r="LN13" s="67"/>
      <c r="LO13" s="67"/>
      <c r="LP13" s="67"/>
      <c r="LQ13" s="67"/>
      <c r="LR13" s="67"/>
      <c r="LS13" s="67"/>
      <c r="LT13" s="67"/>
      <c r="LU13" s="67"/>
      <c r="LV13" s="67"/>
      <c r="LW13" s="67"/>
      <c r="LX13" s="67"/>
      <c r="LY13" s="67"/>
      <c r="LZ13" s="68"/>
      <c r="MA13" s="66"/>
      <c r="MB13" s="67"/>
      <c r="MC13" s="67"/>
      <c r="MD13" s="67"/>
      <c r="ME13" s="67"/>
      <c r="MF13" s="67"/>
      <c r="MG13" s="67"/>
      <c r="MH13" s="67"/>
      <c r="MI13" s="67"/>
      <c r="MJ13" s="67"/>
      <c r="MK13" s="67"/>
      <c r="ML13" s="67"/>
      <c r="MM13" s="67"/>
      <c r="MN13" s="67"/>
      <c r="MO13" s="67"/>
      <c r="MP13" s="67"/>
      <c r="MQ13" s="67"/>
      <c r="MR13" s="67"/>
      <c r="MS13" s="67"/>
      <c r="MT13" s="67"/>
      <c r="MU13" s="67"/>
      <c r="MV13" s="67"/>
      <c r="MW13" s="67"/>
      <c r="MX13" s="67"/>
      <c r="MY13" s="67"/>
      <c r="MZ13" s="67"/>
      <c r="NA13" s="67"/>
      <c r="NB13" s="67"/>
      <c r="NC13" s="67"/>
      <c r="ND13" s="67"/>
      <c r="NE13" s="68"/>
    </row>
    <row r="14" spans="1:369" x14ac:dyDescent="0.25">
      <c r="A14" s="57"/>
      <c r="B14" s="64"/>
      <c r="C14" s="65"/>
      <c r="D14" s="65"/>
      <c r="E14" s="66"/>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8"/>
      <c r="AJ14" s="66"/>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8"/>
      <c r="BL14" s="66"/>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8"/>
      <c r="CQ14" s="66"/>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8"/>
      <c r="DU14" s="66"/>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8"/>
      <c r="EZ14" s="66"/>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8"/>
      <c r="GD14" s="66"/>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8"/>
      <c r="HI14" s="66"/>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c r="IH14" s="67"/>
      <c r="II14" s="67"/>
      <c r="IJ14" s="67"/>
      <c r="IK14" s="67"/>
      <c r="IL14" s="67"/>
      <c r="IM14" s="68"/>
      <c r="IN14" s="66"/>
      <c r="IO14" s="67"/>
      <c r="IP14" s="67"/>
      <c r="IQ14" s="67"/>
      <c r="IR14" s="67"/>
      <c r="IS14" s="67"/>
      <c r="IT14" s="67"/>
      <c r="IU14" s="67"/>
      <c r="IV14" s="67"/>
      <c r="IW14" s="67"/>
      <c r="IX14" s="67"/>
      <c r="IY14" s="67"/>
      <c r="IZ14" s="67"/>
      <c r="JA14" s="67"/>
      <c r="JB14" s="67"/>
      <c r="JC14" s="67"/>
      <c r="JD14" s="67"/>
      <c r="JE14" s="67"/>
      <c r="JF14" s="67"/>
      <c r="JG14" s="67"/>
      <c r="JH14" s="67"/>
      <c r="JI14" s="67"/>
      <c r="JJ14" s="67"/>
      <c r="JK14" s="67"/>
      <c r="JL14" s="67"/>
      <c r="JM14" s="67"/>
      <c r="JN14" s="67"/>
      <c r="JO14" s="67"/>
      <c r="JP14" s="67"/>
      <c r="JQ14" s="68"/>
      <c r="JR14" s="66"/>
      <c r="JS14" s="67"/>
      <c r="JT14" s="67"/>
      <c r="JU14" s="67"/>
      <c r="JV14" s="67"/>
      <c r="JW14" s="67"/>
      <c r="JX14" s="67"/>
      <c r="JY14" s="67"/>
      <c r="JZ14" s="67"/>
      <c r="KA14" s="67"/>
      <c r="KB14" s="67"/>
      <c r="KC14" s="67"/>
      <c r="KD14" s="67"/>
      <c r="KE14" s="67"/>
      <c r="KF14" s="67"/>
      <c r="KG14" s="67"/>
      <c r="KH14" s="67"/>
      <c r="KI14" s="67"/>
      <c r="KJ14" s="67"/>
      <c r="KK14" s="67"/>
      <c r="KL14" s="67"/>
      <c r="KM14" s="67"/>
      <c r="KN14" s="67"/>
      <c r="KO14" s="67"/>
      <c r="KP14" s="67"/>
      <c r="KQ14" s="67"/>
      <c r="KR14" s="67"/>
      <c r="KS14" s="67"/>
      <c r="KT14" s="67"/>
      <c r="KU14" s="67"/>
      <c r="KV14" s="68"/>
      <c r="KW14" s="66"/>
      <c r="KX14" s="67"/>
      <c r="KY14" s="67"/>
      <c r="KZ14" s="67"/>
      <c r="LA14" s="67"/>
      <c r="LB14" s="67"/>
      <c r="LC14" s="67"/>
      <c r="LD14" s="67"/>
      <c r="LE14" s="67"/>
      <c r="LF14" s="67"/>
      <c r="LG14" s="67"/>
      <c r="LH14" s="67"/>
      <c r="LI14" s="67"/>
      <c r="LJ14" s="67"/>
      <c r="LK14" s="67"/>
      <c r="LL14" s="67"/>
      <c r="LM14" s="67"/>
      <c r="LN14" s="67"/>
      <c r="LO14" s="67"/>
      <c r="LP14" s="67"/>
      <c r="LQ14" s="67"/>
      <c r="LR14" s="67"/>
      <c r="LS14" s="67"/>
      <c r="LT14" s="67"/>
      <c r="LU14" s="67"/>
      <c r="LV14" s="67"/>
      <c r="LW14" s="67"/>
      <c r="LX14" s="67"/>
      <c r="LY14" s="67"/>
      <c r="LZ14" s="68"/>
      <c r="MA14" s="66"/>
      <c r="MB14" s="67"/>
      <c r="MC14" s="67"/>
      <c r="MD14" s="67"/>
      <c r="ME14" s="67"/>
      <c r="MF14" s="67"/>
      <c r="MG14" s="67"/>
      <c r="MH14" s="67"/>
      <c r="MI14" s="67"/>
      <c r="MJ14" s="67"/>
      <c r="MK14" s="67"/>
      <c r="ML14" s="67"/>
      <c r="MM14" s="67"/>
      <c r="MN14" s="67"/>
      <c r="MO14" s="67"/>
      <c r="MP14" s="67"/>
      <c r="MQ14" s="67"/>
      <c r="MR14" s="67"/>
      <c r="MS14" s="67"/>
      <c r="MT14" s="67"/>
      <c r="MU14" s="67"/>
      <c r="MV14" s="67"/>
      <c r="MW14" s="67"/>
      <c r="MX14" s="67"/>
      <c r="MY14" s="67"/>
      <c r="MZ14" s="67"/>
      <c r="NA14" s="67"/>
      <c r="NB14" s="67"/>
      <c r="NC14" s="67"/>
      <c r="ND14" s="67"/>
      <c r="NE14" s="68"/>
    </row>
    <row r="15" spans="1:369" x14ac:dyDescent="0.25">
      <c r="A15" s="63"/>
      <c r="B15" s="64"/>
      <c r="C15" s="65"/>
      <c r="D15" s="65"/>
      <c r="E15" s="66"/>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8"/>
      <c r="AJ15" s="66"/>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8"/>
      <c r="BL15" s="66"/>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8"/>
      <c r="CQ15" s="66"/>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8"/>
      <c r="DU15" s="66"/>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8"/>
      <c r="EZ15" s="66"/>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8"/>
      <c r="GD15" s="66"/>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8"/>
      <c r="HI15" s="66"/>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8"/>
      <c r="IN15" s="66"/>
      <c r="IO15" s="67"/>
      <c r="IP15" s="67"/>
      <c r="IQ15" s="67"/>
      <c r="IR15" s="67"/>
      <c r="IS15" s="67"/>
      <c r="IT15" s="67"/>
      <c r="IU15" s="67"/>
      <c r="IV15" s="67"/>
      <c r="IW15" s="67"/>
      <c r="IX15" s="67"/>
      <c r="IY15" s="67"/>
      <c r="IZ15" s="67"/>
      <c r="JA15" s="67"/>
      <c r="JB15" s="67"/>
      <c r="JC15" s="67"/>
      <c r="JD15" s="67"/>
      <c r="JE15" s="67"/>
      <c r="JF15" s="67"/>
      <c r="JG15" s="67"/>
      <c r="JH15" s="67"/>
      <c r="JI15" s="67"/>
      <c r="JJ15" s="67"/>
      <c r="JK15" s="67"/>
      <c r="JL15" s="67"/>
      <c r="JM15" s="67"/>
      <c r="JN15" s="67"/>
      <c r="JO15" s="67"/>
      <c r="JP15" s="67"/>
      <c r="JQ15" s="68"/>
      <c r="JR15" s="66"/>
      <c r="JS15" s="67"/>
      <c r="JT15" s="67"/>
      <c r="JU15" s="67"/>
      <c r="JV15" s="67"/>
      <c r="JW15" s="67"/>
      <c r="JX15" s="67"/>
      <c r="JY15" s="67"/>
      <c r="JZ15" s="67"/>
      <c r="KA15" s="67"/>
      <c r="KB15" s="67"/>
      <c r="KC15" s="67"/>
      <c r="KD15" s="67"/>
      <c r="KE15" s="67"/>
      <c r="KF15" s="67"/>
      <c r="KG15" s="67"/>
      <c r="KH15" s="67"/>
      <c r="KI15" s="67"/>
      <c r="KJ15" s="67"/>
      <c r="KK15" s="67"/>
      <c r="KL15" s="67"/>
      <c r="KM15" s="67"/>
      <c r="KN15" s="67"/>
      <c r="KO15" s="67"/>
      <c r="KP15" s="67"/>
      <c r="KQ15" s="67"/>
      <c r="KR15" s="67"/>
      <c r="KS15" s="67"/>
      <c r="KT15" s="67"/>
      <c r="KU15" s="67"/>
      <c r="KV15" s="68"/>
      <c r="KW15" s="66"/>
      <c r="KX15" s="67"/>
      <c r="KY15" s="67"/>
      <c r="KZ15" s="67"/>
      <c r="LA15" s="67"/>
      <c r="LB15" s="67"/>
      <c r="LC15" s="67"/>
      <c r="LD15" s="67"/>
      <c r="LE15" s="67"/>
      <c r="LF15" s="67"/>
      <c r="LG15" s="67"/>
      <c r="LH15" s="67"/>
      <c r="LI15" s="67"/>
      <c r="LJ15" s="67"/>
      <c r="LK15" s="67"/>
      <c r="LL15" s="67"/>
      <c r="LM15" s="67"/>
      <c r="LN15" s="67"/>
      <c r="LO15" s="67"/>
      <c r="LP15" s="67"/>
      <c r="LQ15" s="67"/>
      <c r="LR15" s="67"/>
      <c r="LS15" s="67"/>
      <c r="LT15" s="67"/>
      <c r="LU15" s="67"/>
      <c r="LV15" s="67"/>
      <c r="LW15" s="67"/>
      <c r="LX15" s="67"/>
      <c r="LY15" s="67"/>
      <c r="LZ15" s="68"/>
      <c r="MA15" s="66"/>
      <c r="MB15" s="67"/>
      <c r="MC15" s="67"/>
      <c r="MD15" s="67"/>
      <c r="ME15" s="67"/>
      <c r="MF15" s="67"/>
      <c r="MG15" s="67"/>
      <c r="MH15" s="67"/>
      <c r="MI15" s="67"/>
      <c r="MJ15" s="67"/>
      <c r="MK15" s="67"/>
      <c r="ML15" s="67"/>
      <c r="MM15" s="67"/>
      <c r="MN15" s="67"/>
      <c r="MO15" s="67"/>
      <c r="MP15" s="67"/>
      <c r="MQ15" s="67"/>
      <c r="MR15" s="67"/>
      <c r="MS15" s="67"/>
      <c r="MT15" s="67"/>
      <c r="MU15" s="67"/>
      <c r="MV15" s="67"/>
      <c r="MW15" s="67"/>
      <c r="MX15" s="67"/>
      <c r="MY15" s="67"/>
      <c r="MZ15" s="67"/>
      <c r="NA15" s="67"/>
      <c r="NB15" s="67"/>
      <c r="NC15" s="67"/>
      <c r="ND15" s="67"/>
      <c r="NE15" s="68"/>
    </row>
    <row r="16" spans="1:369" x14ac:dyDescent="0.25">
      <c r="A16" s="57"/>
      <c r="B16" s="64"/>
      <c r="C16" s="65"/>
      <c r="D16" s="65"/>
      <c r="E16" s="66"/>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8"/>
      <c r="AJ16" s="66"/>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8"/>
      <c r="BL16" s="66"/>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8"/>
      <c r="CQ16" s="66"/>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8"/>
      <c r="DU16" s="66"/>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8"/>
      <c r="EZ16" s="66"/>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8"/>
      <c r="GD16" s="66"/>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8"/>
      <c r="HI16" s="66"/>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c r="IJ16" s="67"/>
      <c r="IK16" s="67"/>
      <c r="IL16" s="67"/>
      <c r="IM16" s="68"/>
      <c r="IN16" s="66"/>
      <c r="IO16" s="67"/>
      <c r="IP16" s="67"/>
      <c r="IQ16" s="67"/>
      <c r="IR16" s="67"/>
      <c r="IS16" s="67"/>
      <c r="IT16" s="67"/>
      <c r="IU16" s="67"/>
      <c r="IV16" s="67"/>
      <c r="IW16" s="67"/>
      <c r="IX16" s="67"/>
      <c r="IY16" s="67"/>
      <c r="IZ16" s="67"/>
      <c r="JA16" s="67"/>
      <c r="JB16" s="67"/>
      <c r="JC16" s="67"/>
      <c r="JD16" s="67"/>
      <c r="JE16" s="67"/>
      <c r="JF16" s="67"/>
      <c r="JG16" s="67"/>
      <c r="JH16" s="67"/>
      <c r="JI16" s="67"/>
      <c r="JJ16" s="67"/>
      <c r="JK16" s="67"/>
      <c r="JL16" s="67"/>
      <c r="JM16" s="67"/>
      <c r="JN16" s="67"/>
      <c r="JO16" s="67"/>
      <c r="JP16" s="67"/>
      <c r="JQ16" s="68"/>
      <c r="JR16" s="66"/>
      <c r="JS16" s="67"/>
      <c r="JT16" s="67"/>
      <c r="JU16" s="67"/>
      <c r="JV16" s="67"/>
      <c r="JW16" s="67"/>
      <c r="JX16" s="67"/>
      <c r="JY16" s="67"/>
      <c r="JZ16" s="67"/>
      <c r="KA16" s="67"/>
      <c r="KB16" s="67"/>
      <c r="KC16" s="67"/>
      <c r="KD16" s="67"/>
      <c r="KE16" s="67"/>
      <c r="KF16" s="67"/>
      <c r="KG16" s="67"/>
      <c r="KH16" s="67"/>
      <c r="KI16" s="67"/>
      <c r="KJ16" s="67"/>
      <c r="KK16" s="67"/>
      <c r="KL16" s="67"/>
      <c r="KM16" s="67"/>
      <c r="KN16" s="67"/>
      <c r="KO16" s="67"/>
      <c r="KP16" s="67"/>
      <c r="KQ16" s="67"/>
      <c r="KR16" s="67"/>
      <c r="KS16" s="67"/>
      <c r="KT16" s="67"/>
      <c r="KU16" s="67"/>
      <c r="KV16" s="68"/>
      <c r="KW16" s="66"/>
      <c r="KX16" s="67"/>
      <c r="KY16" s="67"/>
      <c r="KZ16" s="67"/>
      <c r="LA16" s="67"/>
      <c r="LB16" s="67"/>
      <c r="LC16" s="67"/>
      <c r="LD16" s="67"/>
      <c r="LE16" s="67"/>
      <c r="LF16" s="67"/>
      <c r="LG16" s="67"/>
      <c r="LH16" s="67"/>
      <c r="LI16" s="67"/>
      <c r="LJ16" s="67"/>
      <c r="LK16" s="67"/>
      <c r="LL16" s="67"/>
      <c r="LM16" s="67"/>
      <c r="LN16" s="67"/>
      <c r="LO16" s="67"/>
      <c r="LP16" s="67"/>
      <c r="LQ16" s="67"/>
      <c r="LR16" s="67"/>
      <c r="LS16" s="67"/>
      <c r="LT16" s="67"/>
      <c r="LU16" s="67"/>
      <c r="LV16" s="67"/>
      <c r="LW16" s="67"/>
      <c r="LX16" s="67"/>
      <c r="LY16" s="67"/>
      <c r="LZ16" s="68"/>
      <c r="MA16" s="66"/>
      <c r="MB16" s="67"/>
      <c r="MC16" s="67"/>
      <c r="MD16" s="67"/>
      <c r="ME16" s="67"/>
      <c r="MF16" s="67"/>
      <c r="MG16" s="67"/>
      <c r="MH16" s="67"/>
      <c r="MI16" s="67"/>
      <c r="MJ16" s="67"/>
      <c r="MK16" s="67"/>
      <c r="ML16" s="67"/>
      <c r="MM16" s="67"/>
      <c r="MN16" s="67"/>
      <c r="MO16" s="67"/>
      <c r="MP16" s="67"/>
      <c r="MQ16" s="67"/>
      <c r="MR16" s="67"/>
      <c r="MS16" s="67"/>
      <c r="MT16" s="67"/>
      <c r="MU16" s="67"/>
      <c r="MV16" s="67"/>
      <c r="MW16" s="67"/>
      <c r="MX16" s="67"/>
      <c r="MY16" s="67"/>
      <c r="MZ16" s="67"/>
      <c r="NA16" s="67"/>
      <c r="NB16" s="67"/>
      <c r="NC16" s="67"/>
      <c r="ND16" s="67"/>
      <c r="NE16" s="68"/>
    </row>
    <row r="17" spans="1:369" x14ac:dyDescent="0.25">
      <c r="A17" s="63"/>
      <c r="B17" s="64"/>
      <c r="C17" s="65"/>
      <c r="D17" s="65"/>
      <c r="E17" s="66"/>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8"/>
      <c r="AJ17" s="66"/>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8"/>
      <c r="BL17" s="66"/>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8"/>
      <c r="CQ17" s="66"/>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8"/>
      <c r="DU17" s="66"/>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8"/>
      <c r="EZ17" s="66"/>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8"/>
      <c r="GD17" s="66"/>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8"/>
      <c r="HI17" s="66"/>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8"/>
      <c r="IN17" s="66"/>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8"/>
      <c r="JR17" s="66"/>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8"/>
      <c r="KW17" s="66"/>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8"/>
      <c r="MA17" s="66"/>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8"/>
    </row>
    <row r="18" spans="1:369" x14ac:dyDescent="0.25">
      <c r="A18" s="57"/>
      <c r="B18" s="64"/>
      <c r="C18" s="65"/>
      <c r="D18" s="65"/>
      <c r="E18" s="66"/>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8"/>
      <c r="AJ18" s="66"/>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8"/>
      <c r="BL18" s="66"/>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8"/>
      <c r="CQ18" s="66"/>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8"/>
      <c r="DU18" s="66"/>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8"/>
      <c r="EZ18" s="66"/>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8"/>
      <c r="GD18" s="66"/>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8"/>
      <c r="HI18" s="66"/>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c r="IJ18" s="67"/>
      <c r="IK18" s="67"/>
      <c r="IL18" s="67"/>
      <c r="IM18" s="68"/>
      <c r="IN18" s="66"/>
      <c r="IO18" s="67"/>
      <c r="IP18" s="67"/>
      <c r="IQ18" s="67"/>
      <c r="IR18" s="67"/>
      <c r="IS18" s="67"/>
      <c r="IT18" s="67"/>
      <c r="IU18" s="67"/>
      <c r="IV18" s="67"/>
      <c r="IW18" s="67"/>
      <c r="IX18" s="67"/>
      <c r="IY18" s="67"/>
      <c r="IZ18" s="67"/>
      <c r="JA18" s="67"/>
      <c r="JB18" s="67"/>
      <c r="JC18" s="67"/>
      <c r="JD18" s="67"/>
      <c r="JE18" s="67"/>
      <c r="JF18" s="67"/>
      <c r="JG18" s="67"/>
      <c r="JH18" s="67"/>
      <c r="JI18" s="67"/>
      <c r="JJ18" s="67"/>
      <c r="JK18" s="67"/>
      <c r="JL18" s="67"/>
      <c r="JM18" s="67"/>
      <c r="JN18" s="67"/>
      <c r="JO18" s="67"/>
      <c r="JP18" s="67"/>
      <c r="JQ18" s="68"/>
      <c r="JR18" s="66"/>
      <c r="JS18" s="67"/>
      <c r="JT18" s="67"/>
      <c r="JU18" s="67"/>
      <c r="JV18" s="67"/>
      <c r="JW18" s="67"/>
      <c r="JX18" s="67"/>
      <c r="JY18" s="67"/>
      <c r="JZ18" s="67"/>
      <c r="KA18" s="67"/>
      <c r="KB18" s="67"/>
      <c r="KC18" s="67"/>
      <c r="KD18" s="67"/>
      <c r="KE18" s="67"/>
      <c r="KF18" s="67"/>
      <c r="KG18" s="67"/>
      <c r="KH18" s="67"/>
      <c r="KI18" s="67"/>
      <c r="KJ18" s="67"/>
      <c r="KK18" s="67"/>
      <c r="KL18" s="67"/>
      <c r="KM18" s="67"/>
      <c r="KN18" s="67"/>
      <c r="KO18" s="67"/>
      <c r="KP18" s="67"/>
      <c r="KQ18" s="67"/>
      <c r="KR18" s="67"/>
      <c r="KS18" s="67"/>
      <c r="KT18" s="67"/>
      <c r="KU18" s="67"/>
      <c r="KV18" s="68"/>
      <c r="KW18" s="66"/>
      <c r="KX18" s="67"/>
      <c r="KY18" s="67"/>
      <c r="KZ18" s="67"/>
      <c r="LA18" s="67"/>
      <c r="LB18" s="67"/>
      <c r="LC18" s="67"/>
      <c r="LD18" s="67"/>
      <c r="LE18" s="67"/>
      <c r="LF18" s="67"/>
      <c r="LG18" s="67"/>
      <c r="LH18" s="67"/>
      <c r="LI18" s="67"/>
      <c r="LJ18" s="67"/>
      <c r="LK18" s="67"/>
      <c r="LL18" s="67"/>
      <c r="LM18" s="67"/>
      <c r="LN18" s="67"/>
      <c r="LO18" s="67"/>
      <c r="LP18" s="67"/>
      <c r="LQ18" s="67"/>
      <c r="LR18" s="67"/>
      <c r="LS18" s="67"/>
      <c r="LT18" s="67"/>
      <c r="LU18" s="67"/>
      <c r="LV18" s="67"/>
      <c r="LW18" s="67"/>
      <c r="LX18" s="67"/>
      <c r="LY18" s="67"/>
      <c r="LZ18" s="68"/>
      <c r="MA18" s="66"/>
      <c r="MB18" s="67"/>
      <c r="MC18" s="67"/>
      <c r="MD18" s="67"/>
      <c r="ME18" s="67"/>
      <c r="MF18" s="67"/>
      <c r="MG18" s="67"/>
      <c r="MH18" s="67"/>
      <c r="MI18" s="67"/>
      <c r="MJ18" s="67"/>
      <c r="MK18" s="67"/>
      <c r="ML18" s="67"/>
      <c r="MM18" s="67"/>
      <c r="MN18" s="67"/>
      <c r="MO18" s="67"/>
      <c r="MP18" s="67"/>
      <c r="MQ18" s="67"/>
      <c r="MR18" s="67"/>
      <c r="MS18" s="67"/>
      <c r="MT18" s="67"/>
      <c r="MU18" s="67"/>
      <c r="MV18" s="67"/>
      <c r="MW18" s="67"/>
      <c r="MX18" s="67"/>
      <c r="MY18" s="67"/>
      <c r="MZ18" s="67"/>
      <c r="NA18" s="67"/>
      <c r="NB18" s="67"/>
      <c r="NC18" s="67"/>
      <c r="ND18" s="67"/>
      <c r="NE18" s="68"/>
    </row>
    <row r="19" spans="1:369" x14ac:dyDescent="0.25">
      <c r="A19" s="63"/>
      <c r="B19" s="64"/>
      <c r="C19" s="65"/>
      <c r="D19" s="65"/>
      <c r="E19" s="66"/>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8"/>
      <c r="AJ19" s="66"/>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8"/>
      <c r="BL19" s="66"/>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8"/>
      <c r="CQ19" s="66"/>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8"/>
      <c r="DU19" s="66"/>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8"/>
      <c r="EZ19" s="66"/>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8"/>
      <c r="GD19" s="66"/>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8"/>
      <c r="HI19" s="66"/>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c r="IJ19" s="67"/>
      <c r="IK19" s="67"/>
      <c r="IL19" s="67"/>
      <c r="IM19" s="68"/>
      <c r="IN19" s="66"/>
      <c r="IO19" s="67"/>
      <c r="IP19" s="67"/>
      <c r="IQ19" s="67"/>
      <c r="IR19" s="67"/>
      <c r="IS19" s="67"/>
      <c r="IT19" s="67"/>
      <c r="IU19" s="67"/>
      <c r="IV19" s="67"/>
      <c r="IW19" s="67"/>
      <c r="IX19" s="67"/>
      <c r="IY19" s="67"/>
      <c r="IZ19" s="67"/>
      <c r="JA19" s="67"/>
      <c r="JB19" s="67"/>
      <c r="JC19" s="67"/>
      <c r="JD19" s="67"/>
      <c r="JE19" s="67"/>
      <c r="JF19" s="67"/>
      <c r="JG19" s="67"/>
      <c r="JH19" s="67"/>
      <c r="JI19" s="67"/>
      <c r="JJ19" s="67"/>
      <c r="JK19" s="67"/>
      <c r="JL19" s="67"/>
      <c r="JM19" s="67"/>
      <c r="JN19" s="67"/>
      <c r="JO19" s="67"/>
      <c r="JP19" s="67"/>
      <c r="JQ19" s="68"/>
      <c r="JR19" s="66"/>
      <c r="JS19" s="67"/>
      <c r="JT19" s="67"/>
      <c r="JU19" s="67"/>
      <c r="JV19" s="67"/>
      <c r="JW19" s="67"/>
      <c r="JX19" s="67"/>
      <c r="JY19" s="67"/>
      <c r="JZ19" s="67"/>
      <c r="KA19" s="67"/>
      <c r="KB19" s="67"/>
      <c r="KC19" s="67"/>
      <c r="KD19" s="67"/>
      <c r="KE19" s="67"/>
      <c r="KF19" s="67"/>
      <c r="KG19" s="67"/>
      <c r="KH19" s="67"/>
      <c r="KI19" s="67"/>
      <c r="KJ19" s="67"/>
      <c r="KK19" s="67"/>
      <c r="KL19" s="67"/>
      <c r="KM19" s="67"/>
      <c r="KN19" s="67"/>
      <c r="KO19" s="67"/>
      <c r="KP19" s="67"/>
      <c r="KQ19" s="67"/>
      <c r="KR19" s="67"/>
      <c r="KS19" s="67"/>
      <c r="KT19" s="67"/>
      <c r="KU19" s="67"/>
      <c r="KV19" s="68"/>
      <c r="KW19" s="66"/>
      <c r="KX19" s="67"/>
      <c r="KY19" s="67"/>
      <c r="KZ19" s="67"/>
      <c r="LA19" s="67"/>
      <c r="LB19" s="67"/>
      <c r="LC19" s="67"/>
      <c r="LD19" s="67"/>
      <c r="LE19" s="67"/>
      <c r="LF19" s="67"/>
      <c r="LG19" s="67"/>
      <c r="LH19" s="67"/>
      <c r="LI19" s="67"/>
      <c r="LJ19" s="67"/>
      <c r="LK19" s="67"/>
      <c r="LL19" s="67"/>
      <c r="LM19" s="67"/>
      <c r="LN19" s="67"/>
      <c r="LO19" s="67"/>
      <c r="LP19" s="67"/>
      <c r="LQ19" s="67"/>
      <c r="LR19" s="67"/>
      <c r="LS19" s="67"/>
      <c r="LT19" s="67"/>
      <c r="LU19" s="67"/>
      <c r="LV19" s="67"/>
      <c r="LW19" s="67"/>
      <c r="LX19" s="67"/>
      <c r="LY19" s="67"/>
      <c r="LZ19" s="68"/>
      <c r="MA19" s="66"/>
      <c r="MB19" s="67"/>
      <c r="MC19" s="67"/>
      <c r="MD19" s="67"/>
      <c r="ME19" s="67"/>
      <c r="MF19" s="67"/>
      <c r="MG19" s="67"/>
      <c r="MH19" s="67"/>
      <c r="MI19" s="67"/>
      <c r="MJ19" s="67"/>
      <c r="MK19" s="67"/>
      <c r="ML19" s="67"/>
      <c r="MM19" s="67"/>
      <c r="MN19" s="67"/>
      <c r="MO19" s="67"/>
      <c r="MP19" s="67"/>
      <c r="MQ19" s="67"/>
      <c r="MR19" s="67"/>
      <c r="MS19" s="67"/>
      <c r="MT19" s="67"/>
      <c r="MU19" s="67"/>
      <c r="MV19" s="67"/>
      <c r="MW19" s="67"/>
      <c r="MX19" s="67"/>
      <c r="MY19" s="67"/>
      <c r="MZ19" s="67"/>
      <c r="NA19" s="67"/>
      <c r="NB19" s="67"/>
      <c r="NC19" s="67"/>
      <c r="ND19" s="67"/>
      <c r="NE19" s="68"/>
    </row>
    <row r="20" spans="1:369" x14ac:dyDescent="0.25">
      <c r="A20" s="57"/>
      <c r="B20" s="64"/>
      <c r="C20" s="65"/>
      <c r="D20" s="65"/>
      <c r="E20" s="66"/>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8"/>
      <c r="AJ20" s="66"/>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8"/>
      <c r="BL20" s="66"/>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8"/>
      <c r="CQ20" s="66"/>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8"/>
      <c r="DU20" s="66"/>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8"/>
      <c r="EZ20" s="66"/>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8"/>
      <c r="GD20" s="66"/>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8"/>
      <c r="HI20" s="66"/>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8"/>
      <c r="IN20" s="66"/>
      <c r="IO20" s="67"/>
      <c r="IP20" s="67"/>
      <c r="IQ20" s="67"/>
      <c r="IR20" s="67"/>
      <c r="IS20" s="67"/>
      <c r="IT20" s="67"/>
      <c r="IU20" s="67"/>
      <c r="IV20" s="67"/>
      <c r="IW20" s="67"/>
      <c r="IX20" s="67"/>
      <c r="IY20" s="67"/>
      <c r="IZ20" s="67"/>
      <c r="JA20" s="67"/>
      <c r="JB20" s="67"/>
      <c r="JC20" s="67"/>
      <c r="JD20" s="67"/>
      <c r="JE20" s="67"/>
      <c r="JF20" s="67"/>
      <c r="JG20" s="67"/>
      <c r="JH20" s="67"/>
      <c r="JI20" s="67"/>
      <c r="JJ20" s="67"/>
      <c r="JK20" s="67"/>
      <c r="JL20" s="67"/>
      <c r="JM20" s="67"/>
      <c r="JN20" s="67"/>
      <c r="JO20" s="67"/>
      <c r="JP20" s="67"/>
      <c r="JQ20" s="68"/>
      <c r="JR20" s="66"/>
      <c r="JS20" s="67"/>
      <c r="JT20" s="67"/>
      <c r="JU20" s="67"/>
      <c r="JV20" s="67"/>
      <c r="JW20" s="67"/>
      <c r="JX20" s="67"/>
      <c r="JY20" s="67"/>
      <c r="JZ20" s="67"/>
      <c r="KA20" s="67"/>
      <c r="KB20" s="67"/>
      <c r="KC20" s="67"/>
      <c r="KD20" s="67"/>
      <c r="KE20" s="67"/>
      <c r="KF20" s="67"/>
      <c r="KG20" s="67"/>
      <c r="KH20" s="67"/>
      <c r="KI20" s="67"/>
      <c r="KJ20" s="67"/>
      <c r="KK20" s="67"/>
      <c r="KL20" s="67"/>
      <c r="KM20" s="67"/>
      <c r="KN20" s="67"/>
      <c r="KO20" s="67"/>
      <c r="KP20" s="67"/>
      <c r="KQ20" s="67"/>
      <c r="KR20" s="67"/>
      <c r="KS20" s="67"/>
      <c r="KT20" s="67"/>
      <c r="KU20" s="67"/>
      <c r="KV20" s="68"/>
      <c r="KW20" s="66"/>
      <c r="KX20" s="67"/>
      <c r="KY20" s="67"/>
      <c r="KZ20" s="67"/>
      <c r="LA20" s="67"/>
      <c r="LB20" s="67"/>
      <c r="LC20" s="67"/>
      <c r="LD20" s="67"/>
      <c r="LE20" s="67"/>
      <c r="LF20" s="67"/>
      <c r="LG20" s="67"/>
      <c r="LH20" s="67"/>
      <c r="LI20" s="67"/>
      <c r="LJ20" s="67"/>
      <c r="LK20" s="67"/>
      <c r="LL20" s="67"/>
      <c r="LM20" s="67"/>
      <c r="LN20" s="67"/>
      <c r="LO20" s="67"/>
      <c r="LP20" s="67"/>
      <c r="LQ20" s="67"/>
      <c r="LR20" s="67"/>
      <c r="LS20" s="67"/>
      <c r="LT20" s="67"/>
      <c r="LU20" s="67"/>
      <c r="LV20" s="67"/>
      <c r="LW20" s="67"/>
      <c r="LX20" s="67"/>
      <c r="LY20" s="67"/>
      <c r="LZ20" s="68"/>
      <c r="MA20" s="66"/>
      <c r="MB20" s="67"/>
      <c r="MC20" s="67"/>
      <c r="MD20" s="67"/>
      <c r="ME20" s="67"/>
      <c r="MF20" s="67"/>
      <c r="MG20" s="67"/>
      <c r="MH20" s="67"/>
      <c r="MI20" s="67"/>
      <c r="MJ20" s="67"/>
      <c r="MK20" s="67"/>
      <c r="ML20" s="67"/>
      <c r="MM20" s="67"/>
      <c r="MN20" s="67"/>
      <c r="MO20" s="67"/>
      <c r="MP20" s="67"/>
      <c r="MQ20" s="67"/>
      <c r="MR20" s="67"/>
      <c r="MS20" s="67"/>
      <c r="MT20" s="67"/>
      <c r="MU20" s="67"/>
      <c r="MV20" s="67"/>
      <c r="MW20" s="67"/>
      <c r="MX20" s="67"/>
      <c r="MY20" s="67"/>
      <c r="MZ20" s="67"/>
      <c r="NA20" s="67"/>
      <c r="NB20" s="67"/>
      <c r="NC20" s="67"/>
      <c r="ND20" s="67"/>
      <c r="NE20" s="68"/>
    </row>
    <row r="21" spans="1:369" x14ac:dyDescent="0.25">
      <c r="A21" s="63"/>
      <c r="B21" s="64"/>
      <c r="C21" s="65"/>
      <c r="D21" s="65"/>
      <c r="E21" s="66"/>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8"/>
      <c r="AJ21" s="66"/>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8"/>
      <c r="BL21" s="66"/>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8"/>
      <c r="CQ21" s="66"/>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8"/>
      <c r="DU21" s="66"/>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8"/>
      <c r="EZ21" s="66"/>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8"/>
      <c r="GD21" s="66"/>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8"/>
      <c r="HI21" s="66"/>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c r="IJ21" s="67"/>
      <c r="IK21" s="67"/>
      <c r="IL21" s="67"/>
      <c r="IM21" s="68"/>
      <c r="IN21" s="66"/>
      <c r="IO21" s="67"/>
      <c r="IP21" s="67"/>
      <c r="IQ21" s="67"/>
      <c r="IR21" s="67"/>
      <c r="IS21" s="67"/>
      <c r="IT21" s="67"/>
      <c r="IU21" s="67"/>
      <c r="IV21" s="67"/>
      <c r="IW21" s="67"/>
      <c r="IX21" s="67"/>
      <c r="IY21" s="67"/>
      <c r="IZ21" s="67"/>
      <c r="JA21" s="67"/>
      <c r="JB21" s="67"/>
      <c r="JC21" s="67"/>
      <c r="JD21" s="67"/>
      <c r="JE21" s="67"/>
      <c r="JF21" s="67"/>
      <c r="JG21" s="67"/>
      <c r="JH21" s="67"/>
      <c r="JI21" s="67"/>
      <c r="JJ21" s="67"/>
      <c r="JK21" s="67"/>
      <c r="JL21" s="67"/>
      <c r="JM21" s="67"/>
      <c r="JN21" s="67"/>
      <c r="JO21" s="67"/>
      <c r="JP21" s="67"/>
      <c r="JQ21" s="68"/>
      <c r="JR21" s="66"/>
      <c r="JS21" s="67"/>
      <c r="JT21" s="67"/>
      <c r="JU21" s="67"/>
      <c r="JV21" s="67"/>
      <c r="JW21" s="67"/>
      <c r="JX21" s="67"/>
      <c r="JY21" s="67"/>
      <c r="JZ21" s="67"/>
      <c r="KA21" s="67"/>
      <c r="KB21" s="67"/>
      <c r="KC21" s="67"/>
      <c r="KD21" s="67"/>
      <c r="KE21" s="67"/>
      <c r="KF21" s="67"/>
      <c r="KG21" s="67"/>
      <c r="KH21" s="67"/>
      <c r="KI21" s="67"/>
      <c r="KJ21" s="67"/>
      <c r="KK21" s="67"/>
      <c r="KL21" s="67"/>
      <c r="KM21" s="67"/>
      <c r="KN21" s="67"/>
      <c r="KO21" s="67"/>
      <c r="KP21" s="67"/>
      <c r="KQ21" s="67"/>
      <c r="KR21" s="67"/>
      <c r="KS21" s="67"/>
      <c r="KT21" s="67"/>
      <c r="KU21" s="67"/>
      <c r="KV21" s="68"/>
      <c r="KW21" s="66"/>
      <c r="KX21" s="67"/>
      <c r="KY21" s="67"/>
      <c r="KZ21" s="67"/>
      <c r="LA21" s="67"/>
      <c r="LB21" s="67"/>
      <c r="LC21" s="67"/>
      <c r="LD21" s="67"/>
      <c r="LE21" s="67"/>
      <c r="LF21" s="67"/>
      <c r="LG21" s="67"/>
      <c r="LH21" s="67"/>
      <c r="LI21" s="67"/>
      <c r="LJ21" s="67"/>
      <c r="LK21" s="67"/>
      <c r="LL21" s="67"/>
      <c r="LM21" s="67"/>
      <c r="LN21" s="67"/>
      <c r="LO21" s="67"/>
      <c r="LP21" s="67"/>
      <c r="LQ21" s="67"/>
      <c r="LR21" s="67"/>
      <c r="LS21" s="67"/>
      <c r="LT21" s="67"/>
      <c r="LU21" s="67"/>
      <c r="LV21" s="67"/>
      <c r="LW21" s="67"/>
      <c r="LX21" s="67"/>
      <c r="LY21" s="67"/>
      <c r="LZ21" s="68"/>
      <c r="MA21" s="66"/>
      <c r="MB21" s="67"/>
      <c r="MC21" s="67"/>
      <c r="MD21" s="67"/>
      <c r="ME21" s="67"/>
      <c r="MF21" s="67"/>
      <c r="MG21" s="67"/>
      <c r="MH21" s="67"/>
      <c r="MI21" s="67"/>
      <c r="MJ21" s="67"/>
      <c r="MK21" s="67"/>
      <c r="ML21" s="67"/>
      <c r="MM21" s="67"/>
      <c r="MN21" s="67"/>
      <c r="MO21" s="67"/>
      <c r="MP21" s="67"/>
      <c r="MQ21" s="67"/>
      <c r="MR21" s="67"/>
      <c r="MS21" s="67"/>
      <c r="MT21" s="67"/>
      <c r="MU21" s="67"/>
      <c r="MV21" s="67"/>
      <c r="MW21" s="67"/>
      <c r="MX21" s="67"/>
      <c r="MY21" s="67"/>
      <c r="MZ21" s="67"/>
      <c r="NA21" s="67"/>
      <c r="NB21" s="67"/>
      <c r="NC21" s="67"/>
      <c r="ND21" s="67"/>
      <c r="NE21" s="68"/>
    </row>
    <row r="22" spans="1:369" x14ac:dyDescent="0.25">
      <c r="A22" s="57"/>
      <c r="B22" s="64"/>
      <c r="C22" s="65"/>
      <c r="D22" s="65"/>
      <c r="E22" s="66"/>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8"/>
      <c r="AJ22" s="66"/>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8"/>
      <c r="BL22" s="66"/>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8"/>
      <c r="CQ22" s="66"/>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8"/>
      <c r="DU22" s="66"/>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8"/>
      <c r="EZ22" s="66"/>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8"/>
      <c r="GD22" s="66"/>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8"/>
      <c r="HI22" s="66"/>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c r="IH22" s="67"/>
      <c r="II22" s="67"/>
      <c r="IJ22" s="67"/>
      <c r="IK22" s="67"/>
      <c r="IL22" s="67"/>
      <c r="IM22" s="68"/>
      <c r="IN22" s="66"/>
      <c r="IO22" s="67"/>
      <c r="IP22" s="67"/>
      <c r="IQ22" s="67"/>
      <c r="IR22" s="67"/>
      <c r="IS22" s="67"/>
      <c r="IT22" s="67"/>
      <c r="IU22" s="67"/>
      <c r="IV22" s="67"/>
      <c r="IW22" s="67"/>
      <c r="IX22" s="67"/>
      <c r="IY22" s="67"/>
      <c r="IZ22" s="67"/>
      <c r="JA22" s="67"/>
      <c r="JB22" s="67"/>
      <c r="JC22" s="67"/>
      <c r="JD22" s="67"/>
      <c r="JE22" s="67"/>
      <c r="JF22" s="67"/>
      <c r="JG22" s="67"/>
      <c r="JH22" s="67"/>
      <c r="JI22" s="67"/>
      <c r="JJ22" s="67"/>
      <c r="JK22" s="67"/>
      <c r="JL22" s="67"/>
      <c r="JM22" s="67"/>
      <c r="JN22" s="67"/>
      <c r="JO22" s="67"/>
      <c r="JP22" s="67"/>
      <c r="JQ22" s="68"/>
      <c r="JR22" s="66"/>
      <c r="JS22" s="67"/>
      <c r="JT22" s="67"/>
      <c r="JU22" s="67"/>
      <c r="JV22" s="67"/>
      <c r="JW22" s="67"/>
      <c r="JX22" s="67"/>
      <c r="JY22" s="67"/>
      <c r="JZ22" s="67"/>
      <c r="KA22" s="67"/>
      <c r="KB22" s="67"/>
      <c r="KC22" s="67"/>
      <c r="KD22" s="67"/>
      <c r="KE22" s="67"/>
      <c r="KF22" s="67"/>
      <c r="KG22" s="67"/>
      <c r="KH22" s="67"/>
      <c r="KI22" s="67"/>
      <c r="KJ22" s="67"/>
      <c r="KK22" s="67"/>
      <c r="KL22" s="67"/>
      <c r="KM22" s="67"/>
      <c r="KN22" s="67"/>
      <c r="KO22" s="67"/>
      <c r="KP22" s="67"/>
      <c r="KQ22" s="67"/>
      <c r="KR22" s="67"/>
      <c r="KS22" s="67"/>
      <c r="KT22" s="67"/>
      <c r="KU22" s="67"/>
      <c r="KV22" s="68"/>
      <c r="KW22" s="66"/>
      <c r="KX22" s="67"/>
      <c r="KY22" s="67"/>
      <c r="KZ22" s="67"/>
      <c r="LA22" s="67"/>
      <c r="LB22" s="67"/>
      <c r="LC22" s="67"/>
      <c r="LD22" s="67"/>
      <c r="LE22" s="67"/>
      <c r="LF22" s="67"/>
      <c r="LG22" s="67"/>
      <c r="LH22" s="67"/>
      <c r="LI22" s="67"/>
      <c r="LJ22" s="67"/>
      <c r="LK22" s="67"/>
      <c r="LL22" s="67"/>
      <c r="LM22" s="67"/>
      <c r="LN22" s="67"/>
      <c r="LO22" s="67"/>
      <c r="LP22" s="67"/>
      <c r="LQ22" s="67"/>
      <c r="LR22" s="67"/>
      <c r="LS22" s="67"/>
      <c r="LT22" s="67"/>
      <c r="LU22" s="67"/>
      <c r="LV22" s="67"/>
      <c r="LW22" s="67"/>
      <c r="LX22" s="67"/>
      <c r="LY22" s="67"/>
      <c r="LZ22" s="68"/>
      <c r="MA22" s="66"/>
      <c r="MB22" s="67"/>
      <c r="MC22" s="67"/>
      <c r="MD22" s="67"/>
      <c r="ME22" s="67"/>
      <c r="MF22" s="67"/>
      <c r="MG22" s="67"/>
      <c r="MH22" s="67"/>
      <c r="MI22" s="67"/>
      <c r="MJ22" s="67"/>
      <c r="MK22" s="67"/>
      <c r="ML22" s="67"/>
      <c r="MM22" s="67"/>
      <c r="MN22" s="67"/>
      <c r="MO22" s="67"/>
      <c r="MP22" s="67"/>
      <c r="MQ22" s="67"/>
      <c r="MR22" s="67"/>
      <c r="MS22" s="67"/>
      <c r="MT22" s="67"/>
      <c r="MU22" s="67"/>
      <c r="MV22" s="67"/>
      <c r="MW22" s="67"/>
      <c r="MX22" s="67"/>
      <c r="MY22" s="67"/>
      <c r="MZ22" s="67"/>
      <c r="NA22" s="67"/>
      <c r="NB22" s="67"/>
      <c r="NC22" s="67"/>
      <c r="ND22" s="67"/>
      <c r="NE22" s="68"/>
    </row>
    <row r="23" spans="1:369" x14ac:dyDescent="0.25">
      <c r="A23" s="63"/>
      <c r="B23" s="64"/>
      <c r="C23" s="65"/>
      <c r="D23" s="65"/>
      <c r="E23" s="66"/>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8"/>
      <c r="AJ23" s="66"/>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8"/>
      <c r="BL23" s="66"/>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8"/>
      <c r="CQ23" s="66"/>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8"/>
      <c r="DU23" s="66"/>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8"/>
      <c r="EZ23" s="66"/>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8"/>
      <c r="GD23" s="66"/>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8"/>
      <c r="HI23" s="66"/>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c r="IH23" s="67"/>
      <c r="II23" s="67"/>
      <c r="IJ23" s="67"/>
      <c r="IK23" s="67"/>
      <c r="IL23" s="67"/>
      <c r="IM23" s="68"/>
      <c r="IN23" s="66"/>
      <c r="IO23" s="67"/>
      <c r="IP23" s="67"/>
      <c r="IQ23" s="67"/>
      <c r="IR23" s="67"/>
      <c r="IS23" s="67"/>
      <c r="IT23" s="67"/>
      <c r="IU23" s="67"/>
      <c r="IV23" s="67"/>
      <c r="IW23" s="67"/>
      <c r="IX23" s="67"/>
      <c r="IY23" s="67"/>
      <c r="IZ23" s="67"/>
      <c r="JA23" s="67"/>
      <c r="JB23" s="67"/>
      <c r="JC23" s="67"/>
      <c r="JD23" s="67"/>
      <c r="JE23" s="67"/>
      <c r="JF23" s="67"/>
      <c r="JG23" s="67"/>
      <c r="JH23" s="67"/>
      <c r="JI23" s="67"/>
      <c r="JJ23" s="67"/>
      <c r="JK23" s="67"/>
      <c r="JL23" s="67"/>
      <c r="JM23" s="67"/>
      <c r="JN23" s="67"/>
      <c r="JO23" s="67"/>
      <c r="JP23" s="67"/>
      <c r="JQ23" s="68"/>
      <c r="JR23" s="66"/>
      <c r="JS23" s="67"/>
      <c r="JT23" s="67"/>
      <c r="JU23" s="67"/>
      <c r="JV23" s="67"/>
      <c r="JW23" s="67"/>
      <c r="JX23" s="67"/>
      <c r="JY23" s="67"/>
      <c r="JZ23" s="67"/>
      <c r="KA23" s="67"/>
      <c r="KB23" s="67"/>
      <c r="KC23" s="67"/>
      <c r="KD23" s="67"/>
      <c r="KE23" s="67"/>
      <c r="KF23" s="67"/>
      <c r="KG23" s="67"/>
      <c r="KH23" s="67"/>
      <c r="KI23" s="67"/>
      <c r="KJ23" s="67"/>
      <c r="KK23" s="67"/>
      <c r="KL23" s="67"/>
      <c r="KM23" s="67"/>
      <c r="KN23" s="67"/>
      <c r="KO23" s="67"/>
      <c r="KP23" s="67"/>
      <c r="KQ23" s="67"/>
      <c r="KR23" s="67"/>
      <c r="KS23" s="67"/>
      <c r="KT23" s="67"/>
      <c r="KU23" s="67"/>
      <c r="KV23" s="68"/>
      <c r="KW23" s="66"/>
      <c r="KX23" s="67"/>
      <c r="KY23" s="67"/>
      <c r="KZ23" s="67"/>
      <c r="LA23" s="67"/>
      <c r="LB23" s="67"/>
      <c r="LC23" s="67"/>
      <c r="LD23" s="67"/>
      <c r="LE23" s="67"/>
      <c r="LF23" s="67"/>
      <c r="LG23" s="67"/>
      <c r="LH23" s="67"/>
      <c r="LI23" s="67"/>
      <c r="LJ23" s="67"/>
      <c r="LK23" s="67"/>
      <c r="LL23" s="67"/>
      <c r="LM23" s="67"/>
      <c r="LN23" s="67"/>
      <c r="LO23" s="67"/>
      <c r="LP23" s="67"/>
      <c r="LQ23" s="67"/>
      <c r="LR23" s="67"/>
      <c r="LS23" s="67"/>
      <c r="LT23" s="67"/>
      <c r="LU23" s="67"/>
      <c r="LV23" s="67"/>
      <c r="LW23" s="67"/>
      <c r="LX23" s="67"/>
      <c r="LY23" s="67"/>
      <c r="LZ23" s="68"/>
      <c r="MA23" s="66"/>
      <c r="MB23" s="67"/>
      <c r="MC23" s="67"/>
      <c r="MD23" s="67"/>
      <c r="ME23" s="67"/>
      <c r="MF23" s="67"/>
      <c r="MG23" s="67"/>
      <c r="MH23" s="67"/>
      <c r="MI23" s="67"/>
      <c r="MJ23" s="67"/>
      <c r="MK23" s="67"/>
      <c r="ML23" s="67"/>
      <c r="MM23" s="67"/>
      <c r="MN23" s="67"/>
      <c r="MO23" s="67"/>
      <c r="MP23" s="67"/>
      <c r="MQ23" s="67"/>
      <c r="MR23" s="67"/>
      <c r="MS23" s="67"/>
      <c r="MT23" s="67"/>
      <c r="MU23" s="67"/>
      <c r="MV23" s="67"/>
      <c r="MW23" s="67"/>
      <c r="MX23" s="67"/>
      <c r="MY23" s="67"/>
      <c r="MZ23" s="67"/>
      <c r="NA23" s="67"/>
      <c r="NB23" s="67"/>
      <c r="NC23" s="67"/>
      <c r="ND23" s="67"/>
      <c r="NE23" s="68"/>
    </row>
    <row r="24" spans="1:369" x14ac:dyDescent="0.25">
      <c r="A24" s="57"/>
      <c r="B24" s="64"/>
      <c r="C24" s="65"/>
      <c r="D24" s="65"/>
      <c r="E24" s="66"/>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8"/>
      <c r="AJ24" s="66"/>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8"/>
      <c r="BL24" s="66"/>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8"/>
      <c r="CQ24" s="66"/>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8"/>
      <c r="DU24" s="66"/>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8"/>
      <c r="EZ24" s="66"/>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8"/>
      <c r="GD24" s="66"/>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8"/>
      <c r="HI24" s="66"/>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c r="IJ24" s="67"/>
      <c r="IK24" s="67"/>
      <c r="IL24" s="67"/>
      <c r="IM24" s="68"/>
      <c r="IN24" s="66"/>
      <c r="IO24" s="67"/>
      <c r="IP24" s="67"/>
      <c r="IQ24" s="67"/>
      <c r="IR24" s="67"/>
      <c r="IS24" s="67"/>
      <c r="IT24" s="67"/>
      <c r="IU24" s="67"/>
      <c r="IV24" s="67"/>
      <c r="IW24" s="67"/>
      <c r="IX24" s="67"/>
      <c r="IY24" s="67"/>
      <c r="IZ24" s="67"/>
      <c r="JA24" s="67"/>
      <c r="JB24" s="67"/>
      <c r="JC24" s="67"/>
      <c r="JD24" s="67"/>
      <c r="JE24" s="67"/>
      <c r="JF24" s="67"/>
      <c r="JG24" s="67"/>
      <c r="JH24" s="67"/>
      <c r="JI24" s="67"/>
      <c r="JJ24" s="67"/>
      <c r="JK24" s="67"/>
      <c r="JL24" s="67"/>
      <c r="JM24" s="67"/>
      <c r="JN24" s="67"/>
      <c r="JO24" s="67"/>
      <c r="JP24" s="67"/>
      <c r="JQ24" s="68"/>
      <c r="JR24" s="66"/>
      <c r="JS24" s="67"/>
      <c r="JT24" s="67"/>
      <c r="JU24" s="67"/>
      <c r="JV24" s="67"/>
      <c r="JW24" s="67"/>
      <c r="JX24" s="67"/>
      <c r="JY24" s="67"/>
      <c r="JZ24" s="67"/>
      <c r="KA24" s="67"/>
      <c r="KB24" s="67"/>
      <c r="KC24" s="67"/>
      <c r="KD24" s="67"/>
      <c r="KE24" s="67"/>
      <c r="KF24" s="67"/>
      <c r="KG24" s="67"/>
      <c r="KH24" s="67"/>
      <c r="KI24" s="67"/>
      <c r="KJ24" s="67"/>
      <c r="KK24" s="67"/>
      <c r="KL24" s="67"/>
      <c r="KM24" s="67"/>
      <c r="KN24" s="67"/>
      <c r="KO24" s="67"/>
      <c r="KP24" s="67"/>
      <c r="KQ24" s="67"/>
      <c r="KR24" s="67"/>
      <c r="KS24" s="67"/>
      <c r="KT24" s="67"/>
      <c r="KU24" s="67"/>
      <c r="KV24" s="68"/>
      <c r="KW24" s="66"/>
      <c r="KX24" s="67"/>
      <c r="KY24" s="67"/>
      <c r="KZ24" s="67"/>
      <c r="LA24" s="67"/>
      <c r="LB24" s="67"/>
      <c r="LC24" s="67"/>
      <c r="LD24" s="67"/>
      <c r="LE24" s="67"/>
      <c r="LF24" s="67"/>
      <c r="LG24" s="67"/>
      <c r="LH24" s="67"/>
      <c r="LI24" s="67"/>
      <c r="LJ24" s="67"/>
      <c r="LK24" s="67"/>
      <c r="LL24" s="67"/>
      <c r="LM24" s="67"/>
      <c r="LN24" s="67"/>
      <c r="LO24" s="67"/>
      <c r="LP24" s="67"/>
      <c r="LQ24" s="67"/>
      <c r="LR24" s="67"/>
      <c r="LS24" s="67"/>
      <c r="LT24" s="67"/>
      <c r="LU24" s="67"/>
      <c r="LV24" s="67"/>
      <c r="LW24" s="67"/>
      <c r="LX24" s="67"/>
      <c r="LY24" s="67"/>
      <c r="LZ24" s="68"/>
      <c r="MA24" s="66"/>
      <c r="MB24" s="67"/>
      <c r="MC24" s="67"/>
      <c r="MD24" s="67"/>
      <c r="ME24" s="67"/>
      <c r="MF24" s="67"/>
      <c r="MG24" s="67"/>
      <c r="MH24" s="67"/>
      <c r="MI24" s="67"/>
      <c r="MJ24" s="67"/>
      <c r="MK24" s="67"/>
      <c r="ML24" s="67"/>
      <c r="MM24" s="67"/>
      <c r="MN24" s="67"/>
      <c r="MO24" s="67"/>
      <c r="MP24" s="67"/>
      <c r="MQ24" s="67"/>
      <c r="MR24" s="67"/>
      <c r="MS24" s="67"/>
      <c r="MT24" s="67"/>
      <c r="MU24" s="67"/>
      <c r="MV24" s="67"/>
      <c r="MW24" s="67"/>
      <c r="MX24" s="67"/>
      <c r="MY24" s="67"/>
      <c r="MZ24" s="67"/>
      <c r="NA24" s="67"/>
      <c r="NB24" s="67"/>
      <c r="NC24" s="67"/>
      <c r="ND24" s="67"/>
      <c r="NE24" s="68"/>
    </row>
    <row r="25" spans="1:369" x14ac:dyDescent="0.25">
      <c r="A25" s="63"/>
      <c r="B25" s="64"/>
      <c r="C25" s="65"/>
      <c r="D25" s="65"/>
      <c r="E25" s="66"/>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8"/>
      <c r="AJ25" s="66"/>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8"/>
      <c r="BL25" s="66"/>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8"/>
      <c r="CQ25" s="66"/>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8"/>
      <c r="DU25" s="66"/>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8"/>
      <c r="EZ25" s="66"/>
      <c r="FA25" s="67"/>
      <c r="FB25" s="67"/>
      <c r="FC25" s="67"/>
      <c r="FD25" s="67"/>
      <c r="FE25" s="67"/>
      <c r="FF25" s="67"/>
      <c r="FG25" s="67"/>
      <c r="FH25" s="67"/>
      <c r="FI25" s="67"/>
      <c r="FJ25" s="67"/>
      <c r="FK25" s="67"/>
      <c r="FL25" s="67"/>
      <c r="FM25" s="67"/>
      <c r="FN25" s="67"/>
      <c r="FO25" s="67"/>
      <c r="FP25" s="67"/>
      <c r="FQ25" s="67"/>
      <c r="FR25" s="67"/>
      <c r="FS25" s="67"/>
      <c r="FT25" s="67"/>
      <c r="FU25" s="67"/>
      <c r="FV25" s="67"/>
      <c r="FW25" s="67"/>
      <c r="FX25" s="67"/>
      <c r="FY25" s="67"/>
      <c r="FZ25" s="67"/>
      <c r="GA25" s="67"/>
      <c r="GB25" s="67"/>
      <c r="GC25" s="68"/>
      <c r="GD25" s="66"/>
      <c r="GE25" s="67"/>
      <c r="GF25" s="67"/>
      <c r="GG25" s="67"/>
      <c r="GH25" s="67"/>
      <c r="GI25" s="67"/>
      <c r="GJ25" s="67"/>
      <c r="GK25" s="67"/>
      <c r="GL25" s="67"/>
      <c r="GM25" s="67"/>
      <c r="GN25" s="67"/>
      <c r="GO25" s="67"/>
      <c r="GP25" s="67"/>
      <c r="GQ25" s="67"/>
      <c r="GR25" s="67"/>
      <c r="GS25" s="67"/>
      <c r="GT25" s="67"/>
      <c r="GU25" s="67"/>
      <c r="GV25" s="67"/>
      <c r="GW25" s="67"/>
      <c r="GX25" s="67"/>
      <c r="GY25" s="67"/>
      <c r="GZ25" s="67"/>
      <c r="HA25" s="67"/>
      <c r="HB25" s="67"/>
      <c r="HC25" s="67"/>
      <c r="HD25" s="67"/>
      <c r="HE25" s="67"/>
      <c r="HF25" s="67"/>
      <c r="HG25" s="67"/>
      <c r="HH25" s="68"/>
      <c r="HI25" s="66"/>
      <c r="HJ25" s="67"/>
      <c r="HK25" s="67"/>
      <c r="HL25" s="67"/>
      <c r="HM25" s="67"/>
      <c r="HN25" s="67"/>
      <c r="HO25" s="67"/>
      <c r="HP25" s="67"/>
      <c r="HQ25" s="67"/>
      <c r="HR25" s="67"/>
      <c r="HS25" s="67"/>
      <c r="HT25" s="67"/>
      <c r="HU25" s="67"/>
      <c r="HV25" s="67"/>
      <c r="HW25" s="67"/>
      <c r="HX25" s="67"/>
      <c r="HY25" s="67"/>
      <c r="HZ25" s="67"/>
      <c r="IA25" s="67"/>
      <c r="IB25" s="67"/>
      <c r="IC25" s="67"/>
      <c r="ID25" s="67"/>
      <c r="IE25" s="67"/>
      <c r="IF25" s="67"/>
      <c r="IG25" s="67"/>
      <c r="IH25" s="67"/>
      <c r="II25" s="67"/>
      <c r="IJ25" s="67"/>
      <c r="IK25" s="67"/>
      <c r="IL25" s="67"/>
      <c r="IM25" s="68"/>
      <c r="IN25" s="66"/>
      <c r="IO25" s="67"/>
      <c r="IP25" s="67"/>
      <c r="IQ25" s="67"/>
      <c r="IR25" s="67"/>
      <c r="IS25" s="67"/>
      <c r="IT25" s="67"/>
      <c r="IU25" s="67"/>
      <c r="IV25" s="67"/>
      <c r="IW25" s="67"/>
      <c r="IX25" s="67"/>
      <c r="IY25" s="67"/>
      <c r="IZ25" s="67"/>
      <c r="JA25" s="67"/>
      <c r="JB25" s="67"/>
      <c r="JC25" s="67"/>
      <c r="JD25" s="67"/>
      <c r="JE25" s="67"/>
      <c r="JF25" s="67"/>
      <c r="JG25" s="67"/>
      <c r="JH25" s="67"/>
      <c r="JI25" s="67"/>
      <c r="JJ25" s="67"/>
      <c r="JK25" s="67"/>
      <c r="JL25" s="67"/>
      <c r="JM25" s="67"/>
      <c r="JN25" s="67"/>
      <c r="JO25" s="67"/>
      <c r="JP25" s="67"/>
      <c r="JQ25" s="68"/>
      <c r="JR25" s="66"/>
      <c r="JS25" s="67"/>
      <c r="JT25" s="67"/>
      <c r="JU25" s="67"/>
      <c r="JV25" s="67"/>
      <c r="JW25" s="67"/>
      <c r="JX25" s="67"/>
      <c r="JY25" s="67"/>
      <c r="JZ25" s="67"/>
      <c r="KA25" s="67"/>
      <c r="KB25" s="67"/>
      <c r="KC25" s="67"/>
      <c r="KD25" s="67"/>
      <c r="KE25" s="67"/>
      <c r="KF25" s="67"/>
      <c r="KG25" s="67"/>
      <c r="KH25" s="67"/>
      <c r="KI25" s="67"/>
      <c r="KJ25" s="67"/>
      <c r="KK25" s="67"/>
      <c r="KL25" s="67"/>
      <c r="KM25" s="67"/>
      <c r="KN25" s="67"/>
      <c r="KO25" s="67"/>
      <c r="KP25" s="67"/>
      <c r="KQ25" s="67"/>
      <c r="KR25" s="67"/>
      <c r="KS25" s="67"/>
      <c r="KT25" s="67"/>
      <c r="KU25" s="67"/>
      <c r="KV25" s="68"/>
      <c r="KW25" s="66"/>
      <c r="KX25" s="67"/>
      <c r="KY25" s="67"/>
      <c r="KZ25" s="67"/>
      <c r="LA25" s="67"/>
      <c r="LB25" s="67"/>
      <c r="LC25" s="67"/>
      <c r="LD25" s="67"/>
      <c r="LE25" s="67"/>
      <c r="LF25" s="67"/>
      <c r="LG25" s="67"/>
      <c r="LH25" s="67"/>
      <c r="LI25" s="67"/>
      <c r="LJ25" s="67"/>
      <c r="LK25" s="67"/>
      <c r="LL25" s="67"/>
      <c r="LM25" s="67"/>
      <c r="LN25" s="67"/>
      <c r="LO25" s="67"/>
      <c r="LP25" s="67"/>
      <c r="LQ25" s="67"/>
      <c r="LR25" s="67"/>
      <c r="LS25" s="67"/>
      <c r="LT25" s="67"/>
      <c r="LU25" s="67"/>
      <c r="LV25" s="67"/>
      <c r="LW25" s="67"/>
      <c r="LX25" s="67"/>
      <c r="LY25" s="67"/>
      <c r="LZ25" s="68"/>
      <c r="MA25" s="66"/>
      <c r="MB25" s="67"/>
      <c r="MC25" s="67"/>
      <c r="MD25" s="67"/>
      <c r="ME25" s="67"/>
      <c r="MF25" s="67"/>
      <c r="MG25" s="67"/>
      <c r="MH25" s="67"/>
      <c r="MI25" s="67"/>
      <c r="MJ25" s="67"/>
      <c r="MK25" s="67"/>
      <c r="ML25" s="67"/>
      <c r="MM25" s="67"/>
      <c r="MN25" s="67"/>
      <c r="MO25" s="67"/>
      <c r="MP25" s="67"/>
      <c r="MQ25" s="67"/>
      <c r="MR25" s="67"/>
      <c r="MS25" s="67"/>
      <c r="MT25" s="67"/>
      <c r="MU25" s="67"/>
      <c r="MV25" s="67"/>
      <c r="MW25" s="67"/>
      <c r="MX25" s="67"/>
      <c r="MY25" s="67"/>
      <c r="MZ25" s="67"/>
      <c r="NA25" s="67"/>
      <c r="NB25" s="67"/>
      <c r="NC25" s="67"/>
      <c r="ND25" s="67"/>
      <c r="NE25" s="68"/>
    </row>
    <row r="26" spans="1:369" x14ac:dyDescent="0.25">
      <c r="A26" s="57"/>
      <c r="B26" s="64"/>
      <c r="C26" s="65"/>
      <c r="D26" s="65"/>
      <c r="E26" s="66"/>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8"/>
      <c r="AJ26" s="66"/>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8"/>
      <c r="BL26" s="66"/>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8"/>
      <c r="CQ26" s="66"/>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8"/>
      <c r="DU26" s="66"/>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8"/>
      <c r="EZ26" s="66"/>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8"/>
      <c r="GD26" s="66"/>
      <c r="GE26" s="67"/>
      <c r="GF26" s="67"/>
      <c r="GG26" s="67"/>
      <c r="GH26" s="67"/>
      <c r="GI26" s="67"/>
      <c r="GJ26" s="67"/>
      <c r="GK26" s="67"/>
      <c r="GL26" s="67"/>
      <c r="GM26" s="67"/>
      <c r="GN26" s="67"/>
      <c r="GO26" s="67"/>
      <c r="GP26" s="67"/>
      <c r="GQ26" s="67"/>
      <c r="GR26" s="67"/>
      <c r="GS26" s="67"/>
      <c r="GT26" s="67"/>
      <c r="GU26" s="67"/>
      <c r="GV26" s="67"/>
      <c r="GW26" s="67"/>
      <c r="GX26" s="67"/>
      <c r="GY26" s="67"/>
      <c r="GZ26" s="67"/>
      <c r="HA26" s="67"/>
      <c r="HB26" s="67"/>
      <c r="HC26" s="67"/>
      <c r="HD26" s="67"/>
      <c r="HE26" s="67"/>
      <c r="HF26" s="67"/>
      <c r="HG26" s="67"/>
      <c r="HH26" s="68"/>
      <c r="HI26" s="66"/>
      <c r="HJ26" s="67"/>
      <c r="HK26" s="67"/>
      <c r="HL26" s="67"/>
      <c r="HM26" s="67"/>
      <c r="HN26" s="67"/>
      <c r="HO26" s="67"/>
      <c r="HP26" s="67"/>
      <c r="HQ26" s="67"/>
      <c r="HR26" s="67"/>
      <c r="HS26" s="67"/>
      <c r="HT26" s="67"/>
      <c r="HU26" s="67"/>
      <c r="HV26" s="67"/>
      <c r="HW26" s="67"/>
      <c r="HX26" s="67"/>
      <c r="HY26" s="67"/>
      <c r="HZ26" s="67"/>
      <c r="IA26" s="67"/>
      <c r="IB26" s="67"/>
      <c r="IC26" s="67"/>
      <c r="ID26" s="67"/>
      <c r="IE26" s="67"/>
      <c r="IF26" s="67"/>
      <c r="IG26" s="67"/>
      <c r="IH26" s="67"/>
      <c r="II26" s="67"/>
      <c r="IJ26" s="67"/>
      <c r="IK26" s="67"/>
      <c r="IL26" s="67"/>
      <c r="IM26" s="68"/>
      <c r="IN26" s="66"/>
      <c r="IO26" s="67"/>
      <c r="IP26" s="67"/>
      <c r="IQ26" s="67"/>
      <c r="IR26" s="67"/>
      <c r="IS26" s="67"/>
      <c r="IT26" s="67"/>
      <c r="IU26" s="67"/>
      <c r="IV26" s="67"/>
      <c r="IW26" s="67"/>
      <c r="IX26" s="67"/>
      <c r="IY26" s="67"/>
      <c r="IZ26" s="67"/>
      <c r="JA26" s="67"/>
      <c r="JB26" s="67"/>
      <c r="JC26" s="67"/>
      <c r="JD26" s="67"/>
      <c r="JE26" s="67"/>
      <c r="JF26" s="67"/>
      <c r="JG26" s="67"/>
      <c r="JH26" s="67"/>
      <c r="JI26" s="67"/>
      <c r="JJ26" s="67"/>
      <c r="JK26" s="67"/>
      <c r="JL26" s="67"/>
      <c r="JM26" s="67"/>
      <c r="JN26" s="67"/>
      <c r="JO26" s="67"/>
      <c r="JP26" s="67"/>
      <c r="JQ26" s="68"/>
      <c r="JR26" s="66"/>
      <c r="JS26" s="67"/>
      <c r="JT26" s="67"/>
      <c r="JU26" s="67"/>
      <c r="JV26" s="67"/>
      <c r="JW26" s="67"/>
      <c r="JX26" s="67"/>
      <c r="JY26" s="67"/>
      <c r="JZ26" s="67"/>
      <c r="KA26" s="67"/>
      <c r="KB26" s="67"/>
      <c r="KC26" s="67"/>
      <c r="KD26" s="67"/>
      <c r="KE26" s="67"/>
      <c r="KF26" s="67"/>
      <c r="KG26" s="67"/>
      <c r="KH26" s="67"/>
      <c r="KI26" s="67"/>
      <c r="KJ26" s="67"/>
      <c r="KK26" s="67"/>
      <c r="KL26" s="67"/>
      <c r="KM26" s="67"/>
      <c r="KN26" s="67"/>
      <c r="KO26" s="67"/>
      <c r="KP26" s="67"/>
      <c r="KQ26" s="67"/>
      <c r="KR26" s="67"/>
      <c r="KS26" s="67"/>
      <c r="KT26" s="67"/>
      <c r="KU26" s="67"/>
      <c r="KV26" s="68"/>
      <c r="KW26" s="66"/>
      <c r="KX26" s="67"/>
      <c r="KY26" s="67"/>
      <c r="KZ26" s="67"/>
      <c r="LA26" s="67"/>
      <c r="LB26" s="67"/>
      <c r="LC26" s="67"/>
      <c r="LD26" s="67"/>
      <c r="LE26" s="67"/>
      <c r="LF26" s="67"/>
      <c r="LG26" s="67"/>
      <c r="LH26" s="67"/>
      <c r="LI26" s="67"/>
      <c r="LJ26" s="67"/>
      <c r="LK26" s="67"/>
      <c r="LL26" s="67"/>
      <c r="LM26" s="67"/>
      <c r="LN26" s="67"/>
      <c r="LO26" s="67"/>
      <c r="LP26" s="67"/>
      <c r="LQ26" s="67"/>
      <c r="LR26" s="67"/>
      <c r="LS26" s="67"/>
      <c r="LT26" s="67"/>
      <c r="LU26" s="67"/>
      <c r="LV26" s="67"/>
      <c r="LW26" s="67"/>
      <c r="LX26" s="67"/>
      <c r="LY26" s="67"/>
      <c r="LZ26" s="68"/>
      <c r="MA26" s="66"/>
      <c r="MB26" s="67"/>
      <c r="MC26" s="67"/>
      <c r="MD26" s="67"/>
      <c r="ME26" s="67"/>
      <c r="MF26" s="67"/>
      <c r="MG26" s="67"/>
      <c r="MH26" s="67"/>
      <c r="MI26" s="67"/>
      <c r="MJ26" s="67"/>
      <c r="MK26" s="67"/>
      <c r="ML26" s="67"/>
      <c r="MM26" s="67"/>
      <c r="MN26" s="67"/>
      <c r="MO26" s="67"/>
      <c r="MP26" s="67"/>
      <c r="MQ26" s="67"/>
      <c r="MR26" s="67"/>
      <c r="MS26" s="67"/>
      <c r="MT26" s="67"/>
      <c r="MU26" s="67"/>
      <c r="MV26" s="67"/>
      <c r="MW26" s="67"/>
      <c r="MX26" s="67"/>
      <c r="MY26" s="67"/>
      <c r="MZ26" s="67"/>
      <c r="NA26" s="67"/>
      <c r="NB26" s="67"/>
      <c r="NC26" s="67"/>
      <c r="ND26" s="67"/>
      <c r="NE26" s="68"/>
    </row>
    <row r="27" spans="1:369" x14ac:dyDescent="0.25">
      <c r="A27" s="63"/>
      <c r="B27" s="69"/>
      <c r="C27" s="70"/>
      <c r="D27" s="65"/>
      <c r="E27" s="71"/>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3"/>
      <c r="AJ27" s="71"/>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3"/>
      <c r="BL27" s="71"/>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3"/>
      <c r="CQ27" s="71"/>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3"/>
      <c r="DU27" s="71"/>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3"/>
      <c r="EZ27" s="71"/>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3"/>
      <c r="GD27" s="71"/>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3"/>
      <c r="HI27" s="71"/>
      <c r="HJ27" s="72"/>
      <c r="HK27" s="72"/>
      <c r="HL27" s="72"/>
      <c r="HM27" s="72"/>
      <c r="HN27" s="72"/>
      <c r="HO27" s="72"/>
      <c r="HP27" s="72"/>
      <c r="HQ27" s="72"/>
      <c r="HR27" s="72"/>
      <c r="HS27" s="72"/>
      <c r="HT27" s="72"/>
      <c r="HU27" s="72"/>
      <c r="HV27" s="72"/>
      <c r="HW27" s="72"/>
      <c r="HX27" s="72"/>
      <c r="HY27" s="72"/>
      <c r="HZ27" s="72"/>
      <c r="IA27" s="72"/>
      <c r="IB27" s="72"/>
      <c r="IC27" s="72"/>
      <c r="ID27" s="72"/>
      <c r="IE27" s="72"/>
      <c r="IF27" s="72"/>
      <c r="IG27" s="72"/>
      <c r="IH27" s="72"/>
      <c r="II27" s="72"/>
      <c r="IJ27" s="72"/>
      <c r="IK27" s="72"/>
      <c r="IL27" s="72"/>
      <c r="IM27" s="73"/>
      <c r="IN27" s="71"/>
      <c r="IO27" s="72"/>
      <c r="IP27" s="72"/>
      <c r="IQ27" s="72"/>
      <c r="IR27" s="72"/>
      <c r="IS27" s="72"/>
      <c r="IT27" s="72"/>
      <c r="IU27" s="72"/>
      <c r="IV27" s="72"/>
      <c r="IW27" s="72"/>
      <c r="IX27" s="72"/>
      <c r="IY27" s="72"/>
      <c r="IZ27" s="72"/>
      <c r="JA27" s="72"/>
      <c r="JB27" s="72"/>
      <c r="JC27" s="72"/>
      <c r="JD27" s="72"/>
      <c r="JE27" s="72"/>
      <c r="JF27" s="72"/>
      <c r="JG27" s="72"/>
      <c r="JH27" s="72"/>
      <c r="JI27" s="72"/>
      <c r="JJ27" s="72"/>
      <c r="JK27" s="72"/>
      <c r="JL27" s="72"/>
      <c r="JM27" s="72"/>
      <c r="JN27" s="72"/>
      <c r="JO27" s="72"/>
      <c r="JP27" s="72"/>
      <c r="JQ27" s="73"/>
      <c r="JR27" s="71"/>
      <c r="JS27" s="72"/>
      <c r="JT27" s="72"/>
      <c r="JU27" s="72"/>
      <c r="JV27" s="72"/>
      <c r="JW27" s="72"/>
      <c r="JX27" s="72"/>
      <c r="JY27" s="72"/>
      <c r="JZ27" s="72"/>
      <c r="KA27" s="72"/>
      <c r="KB27" s="72"/>
      <c r="KC27" s="72"/>
      <c r="KD27" s="72"/>
      <c r="KE27" s="72"/>
      <c r="KF27" s="72"/>
      <c r="KG27" s="72"/>
      <c r="KH27" s="72"/>
      <c r="KI27" s="72"/>
      <c r="KJ27" s="72"/>
      <c r="KK27" s="72"/>
      <c r="KL27" s="72"/>
      <c r="KM27" s="72"/>
      <c r="KN27" s="72"/>
      <c r="KO27" s="72"/>
      <c r="KP27" s="72"/>
      <c r="KQ27" s="72"/>
      <c r="KR27" s="72"/>
      <c r="KS27" s="72"/>
      <c r="KT27" s="72"/>
      <c r="KU27" s="72"/>
      <c r="KV27" s="73"/>
      <c r="KW27" s="71"/>
      <c r="KX27" s="72"/>
      <c r="KY27" s="72"/>
      <c r="KZ27" s="72"/>
      <c r="LA27" s="72"/>
      <c r="LB27" s="72"/>
      <c r="LC27" s="72"/>
      <c r="LD27" s="72"/>
      <c r="LE27" s="72"/>
      <c r="LF27" s="72"/>
      <c r="LG27" s="72"/>
      <c r="LH27" s="72"/>
      <c r="LI27" s="72"/>
      <c r="LJ27" s="72"/>
      <c r="LK27" s="72"/>
      <c r="LL27" s="72"/>
      <c r="LM27" s="72"/>
      <c r="LN27" s="72"/>
      <c r="LO27" s="72"/>
      <c r="LP27" s="72"/>
      <c r="LQ27" s="72"/>
      <c r="LR27" s="72"/>
      <c r="LS27" s="72"/>
      <c r="LT27" s="72"/>
      <c r="LU27" s="72"/>
      <c r="LV27" s="72"/>
      <c r="LW27" s="72"/>
      <c r="LX27" s="72"/>
      <c r="LY27" s="72"/>
      <c r="LZ27" s="73"/>
      <c r="MA27" s="71"/>
      <c r="MB27" s="72"/>
      <c r="MC27" s="72"/>
      <c r="MD27" s="72"/>
      <c r="ME27" s="72"/>
      <c r="MF27" s="72"/>
      <c r="MG27" s="72"/>
      <c r="MH27" s="72"/>
      <c r="MI27" s="72"/>
      <c r="MJ27" s="72"/>
      <c r="MK27" s="72"/>
      <c r="ML27" s="72"/>
      <c r="MM27" s="72"/>
      <c r="MN27" s="72"/>
      <c r="MO27" s="72"/>
      <c r="MP27" s="72"/>
      <c r="MQ27" s="72"/>
      <c r="MR27" s="72"/>
      <c r="MS27" s="72"/>
      <c r="MT27" s="72"/>
      <c r="MU27" s="72"/>
      <c r="MV27" s="72"/>
      <c r="MW27" s="72"/>
      <c r="MX27" s="72"/>
      <c r="MY27" s="72"/>
      <c r="MZ27" s="72"/>
      <c r="NA27" s="72"/>
      <c r="NB27" s="72"/>
      <c r="NC27" s="72"/>
      <c r="ND27" s="72"/>
      <c r="NE27" s="73"/>
    </row>
    <row r="28" spans="1:369" ht="15.75" thickBot="1" x14ac:dyDescent="0.3">
      <c r="A28" s="57"/>
      <c r="B28" s="74"/>
      <c r="C28" s="75"/>
      <c r="D28" s="75"/>
      <c r="E28" s="76"/>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8"/>
      <c r="AJ28" s="76"/>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8"/>
      <c r="BL28" s="76"/>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8"/>
      <c r="CQ28" s="76"/>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8"/>
      <c r="DU28" s="76"/>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8"/>
      <c r="EZ28" s="76"/>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8"/>
      <c r="GD28" s="76"/>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8"/>
      <c r="HI28" s="76"/>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8"/>
      <c r="IN28" s="76"/>
      <c r="IO28" s="77"/>
      <c r="IP28" s="77"/>
      <c r="IQ28" s="77"/>
      <c r="IR28" s="77"/>
      <c r="IS28" s="77"/>
      <c r="IT28" s="77"/>
      <c r="IU28" s="77"/>
      <c r="IV28" s="77"/>
      <c r="IW28" s="77"/>
      <c r="IX28" s="77"/>
      <c r="IY28" s="77"/>
      <c r="IZ28" s="77"/>
      <c r="JA28" s="77"/>
      <c r="JB28" s="77"/>
      <c r="JC28" s="77"/>
      <c r="JD28" s="77"/>
      <c r="JE28" s="77"/>
      <c r="JF28" s="77"/>
      <c r="JG28" s="77"/>
      <c r="JH28" s="77"/>
      <c r="JI28" s="77"/>
      <c r="JJ28" s="77"/>
      <c r="JK28" s="77"/>
      <c r="JL28" s="77"/>
      <c r="JM28" s="77"/>
      <c r="JN28" s="77"/>
      <c r="JO28" s="77"/>
      <c r="JP28" s="77"/>
      <c r="JQ28" s="78"/>
      <c r="JR28" s="76"/>
      <c r="JS28" s="77"/>
      <c r="JT28" s="77"/>
      <c r="JU28" s="77"/>
      <c r="JV28" s="77"/>
      <c r="JW28" s="77"/>
      <c r="JX28" s="77"/>
      <c r="JY28" s="77"/>
      <c r="JZ28" s="77"/>
      <c r="KA28" s="77"/>
      <c r="KB28" s="77"/>
      <c r="KC28" s="77"/>
      <c r="KD28" s="77"/>
      <c r="KE28" s="77"/>
      <c r="KF28" s="77"/>
      <c r="KG28" s="77"/>
      <c r="KH28" s="77"/>
      <c r="KI28" s="77"/>
      <c r="KJ28" s="77"/>
      <c r="KK28" s="77"/>
      <c r="KL28" s="77"/>
      <c r="KM28" s="77"/>
      <c r="KN28" s="77"/>
      <c r="KO28" s="77"/>
      <c r="KP28" s="77"/>
      <c r="KQ28" s="77"/>
      <c r="KR28" s="77"/>
      <c r="KS28" s="77"/>
      <c r="KT28" s="77"/>
      <c r="KU28" s="77"/>
      <c r="KV28" s="78"/>
      <c r="KW28" s="76"/>
      <c r="KX28" s="77"/>
      <c r="KY28" s="77"/>
      <c r="KZ28" s="77"/>
      <c r="LA28" s="77"/>
      <c r="LB28" s="77"/>
      <c r="LC28" s="77"/>
      <c r="LD28" s="77"/>
      <c r="LE28" s="77"/>
      <c r="LF28" s="77"/>
      <c r="LG28" s="77"/>
      <c r="LH28" s="77"/>
      <c r="LI28" s="77"/>
      <c r="LJ28" s="77"/>
      <c r="LK28" s="77"/>
      <c r="LL28" s="77"/>
      <c r="LM28" s="77"/>
      <c r="LN28" s="77"/>
      <c r="LO28" s="77"/>
      <c r="LP28" s="77"/>
      <c r="LQ28" s="77"/>
      <c r="LR28" s="77"/>
      <c r="LS28" s="77"/>
      <c r="LT28" s="77"/>
      <c r="LU28" s="77"/>
      <c r="LV28" s="77"/>
      <c r="LW28" s="77"/>
      <c r="LX28" s="77"/>
      <c r="LY28" s="77"/>
      <c r="LZ28" s="78"/>
      <c r="MA28" s="76"/>
      <c r="MB28" s="77"/>
      <c r="MC28" s="77"/>
      <c r="MD28" s="77"/>
      <c r="ME28" s="77"/>
      <c r="MF28" s="77"/>
      <c r="MG28" s="77"/>
      <c r="MH28" s="77"/>
      <c r="MI28" s="77"/>
      <c r="MJ28" s="77"/>
      <c r="MK28" s="77"/>
      <c r="ML28" s="77"/>
      <c r="MM28" s="77"/>
      <c r="MN28" s="77"/>
      <c r="MO28" s="77"/>
      <c r="MP28" s="77"/>
      <c r="MQ28" s="77"/>
      <c r="MR28" s="77"/>
      <c r="MS28" s="77"/>
      <c r="MT28" s="77"/>
      <c r="MU28" s="77"/>
      <c r="MV28" s="77"/>
      <c r="MW28" s="77"/>
      <c r="MX28" s="77"/>
      <c r="MY28" s="77"/>
      <c r="MZ28" s="77"/>
      <c r="NA28" s="77"/>
      <c r="NB28" s="77"/>
      <c r="NC28" s="77"/>
      <c r="ND28" s="77"/>
      <c r="NE28" s="78"/>
    </row>
    <row r="29" spans="1:369" x14ac:dyDescent="0.25">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c r="IW29" s="51"/>
      <c r="IX29" s="51"/>
      <c r="IY29" s="51"/>
      <c r="IZ29" s="51"/>
      <c r="JA29" s="51"/>
      <c r="JB29" s="51"/>
      <c r="JC29" s="51"/>
      <c r="JD29" s="51"/>
      <c r="JE29" s="51"/>
      <c r="JF29" s="51"/>
      <c r="JG29" s="51"/>
      <c r="JH29" s="51"/>
      <c r="JI29" s="51"/>
      <c r="JJ29" s="51"/>
      <c r="JK29" s="51"/>
      <c r="JL29" s="51"/>
      <c r="JM29" s="51"/>
      <c r="JN29" s="51"/>
      <c r="JO29" s="51"/>
      <c r="JP29" s="51"/>
      <c r="JQ29" s="51"/>
      <c r="JR29" s="51"/>
      <c r="JS29" s="51"/>
      <c r="JT29" s="51"/>
      <c r="JU29" s="51"/>
      <c r="JV29" s="51"/>
      <c r="JW29" s="51"/>
      <c r="JX29" s="51"/>
      <c r="JY29" s="51"/>
      <c r="JZ29" s="51"/>
      <c r="KA29" s="51"/>
      <c r="KB29" s="51"/>
      <c r="KC29" s="51"/>
      <c r="KD29" s="51"/>
      <c r="KE29" s="51"/>
      <c r="KF29" s="51"/>
      <c r="KG29" s="51"/>
      <c r="KH29" s="51"/>
      <c r="KI29" s="51"/>
      <c r="KJ29" s="51"/>
      <c r="KK29" s="51"/>
      <c r="KL29" s="51"/>
      <c r="KM29" s="51"/>
      <c r="KN29" s="51"/>
      <c r="KO29" s="51"/>
      <c r="KP29" s="51"/>
      <c r="KQ29" s="51"/>
      <c r="KR29" s="51"/>
      <c r="KS29" s="51"/>
      <c r="KT29" s="51"/>
      <c r="KU29" s="51"/>
      <c r="KV29" s="51"/>
      <c r="KW29" s="51"/>
      <c r="KX29" s="51"/>
      <c r="KY29" s="51"/>
      <c r="KZ29" s="51"/>
      <c r="LA29" s="51"/>
      <c r="LB29" s="51"/>
      <c r="LC29" s="51"/>
      <c r="LD29" s="51"/>
      <c r="LE29" s="51"/>
      <c r="LF29" s="51"/>
      <c r="LG29" s="51"/>
      <c r="LH29" s="51"/>
      <c r="LI29" s="51"/>
      <c r="LJ29" s="51"/>
      <c r="LK29" s="51"/>
      <c r="LL29" s="51"/>
      <c r="LM29" s="51"/>
      <c r="LN29" s="51"/>
      <c r="LO29" s="51"/>
      <c r="LP29" s="51"/>
      <c r="LQ29" s="51"/>
      <c r="LR29" s="51"/>
      <c r="LS29" s="51"/>
      <c r="LT29" s="51"/>
      <c r="LU29" s="51"/>
      <c r="LV29" s="51"/>
      <c r="LW29" s="51"/>
      <c r="LX29" s="51"/>
      <c r="LY29" s="51"/>
      <c r="LZ29" s="51"/>
      <c r="MA29" s="51"/>
      <c r="MB29" s="51"/>
      <c r="MC29" s="51"/>
      <c r="MD29" s="51"/>
      <c r="ME29" s="51"/>
      <c r="MF29" s="51"/>
      <c r="MG29" s="51"/>
      <c r="MH29" s="51"/>
      <c r="MI29" s="51"/>
      <c r="MJ29" s="51"/>
      <c r="MK29" s="51"/>
      <c r="ML29" s="51"/>
      <c r="MM29" s="51"/>
      <c r="MN29" s="51"/>
      <c r="MO29" s="51"/>
      <c r="MP29" s="51"/>
      <c r="MQ29" s="51"/>
      <c r="MR29" s="51"/>
      <c r="MS29" s="51"/>
      <c r="MT29" s="51"/>
      <c r="MU29" s="51"/>
      <c r="MV29" s="51"/>
      <c r="MW29" s="51"/>
      <c r="MX29" s="51"/>
      <c r="MY29" s="51"/>
      <c r="MZ29" s="51"/>
      <c r="NA29" s="51"/>
      <c r="NB29" s="51"/>
      <c r="NC29" s="51"/>
      <c r="ND29" s="51"/>
      <c r="NE29" s="51"/>
    </row>
    <row r="30" spans="1:369" x14ac:dyDescent="0.25">
      <c r="A30" s="79" t="s">
        <v>93</v>
      </c>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c r="IW30" s="51"/>
      <c r="IX30" s="51"/>
      <c r="IY30" s="51"/>
      <c r="IZ30" s="51"/>
      <c r="JA30" s="51"/>
      <c r="JB30" s="51"/>
      <c r="JC30" s="51"/>
      <c r="JD30" s="51"/>
      <c r="JE30" s="51"/>
      <c r="JF30" s="51"/>
      <c r="JG30" s="51"/>
      <c r="JH30" s="51"/>
      <c r="JI30" s="51"/>
      <c r="JJ30" s="51"/>
      <c r="JK30" s="51"/>
      <c r="JL30" s="51"/>
      <c r="JM30" s="51"/>
      <c r="JN30" s="51"/>
      <c r="JO30" s="51"/>
      <c r="JP30" s="51"/>
      <c r="JQ30" s="51"/>
      <c r="JR30" s="51"/>
      <c r="JS30" s="51"/>
      <c r="JT30" s="51"/>
      <c r="JU30" s="51"/>
      <c r="JV30" s="51"/>
      <c r="JW30" s="51"/>
      <c r="JX30" s="51"/>
      <c r="JY30" s="51"/>
      <c r="JZ30" s="51"/>
      <c r="KA30" s="51"/>
      <c r="KB30" s="51"/>
      <c r="KC30" s="51"/>
      <c r="KD30" s="51"/>
      <c r="KE30" s="51"/>
      <c r="KF30" s="51"/>
      <c r="KG30" s="51"/>
      <c r="KH30" s="51"/>
      <c r="KI30" s="51"/>
      <c r="KJ30" s="51"/>
      <c r="KK30" s="51"/>
      <c r="KL30" s="51"/>
      <c r="KM30" s="51"/>
      <c r="KN30" s="51"/>
      <c r="KO30" s="51"/>
      <c r="KP30" s="51"/>
      <c r="KQ30" s="51"/>
      <c r="KR30" s="51"/>
      <c r="KS30" s="51"/>
      <c r="KT30" s="51"/>
      <c r="KU30" s="51"/>
      <c r="KV30" s="51"/>
      <c r="KW30" s="51"/>
      <c r="KX30" s="51"/>
      <c r="KY30" s="51"/>
      <c r="KZ30" s="51"/>
      <c r="LA30" s="51"/>
      <c r="LB30" s="51"/>
      <c r="LC30" s="51"/>
      <c r="LD30" s="51"/>
      <c r="LE30" s="51"/>
      <c r="LF30" s="51"/>
      <c r="LG30" s="51"/>
      <c r="LH30" s="51"/>
      <c r="LI30" s="51"/>
      <c r="LJ30" s="51"/>
      <c r="LK30" s="51"/>
      <c r="LL30" s="51"/>
      <c r="LM30" s="51"/>
      <c r="LN30" s="51"/>
      <c r="LO30" s="51"/>
      <c r="LP30" s="51"/>
      <c r="LQ30" s="51"/>
      <c r="LR30" s="51"/>
      <c r="LS30" s="51"/>
      <c r="LT30" s="51"/>
      <c r="LU30" s="51"/>
      <c r="LV30" s="51"/>
      <c r="LW30" s="51"/>
      <c r="LX30" s="51"/>
      <c r="LY30" s="51"/>
      <c r="LZ30" s="51"/>
      <c r="MA30" s="51"/>
      <c r="MB30" s="51"/>
      <c r="MC30" s="51"/>
      <c r="MD30" s="51"/>
      <c r="ME30" s="51"/>
      <c r="MF30" s="51"/>
      <c r="MG30" s="51"/>
      <c r="MH30" s="51"/>
      <c r="MI30" s="51"/>
      <c r="MJ30" s="51"/>
      <c r="MK30" s="51"/>
      <c r="ML30" s="51"/>
      <c r="MM30" s="51"/>
      <c r="MN30" s="51"/>
      <c r="MO30" s="51"/>
      <c r="MP30" s="51"/>
      <c r="MQ30" s="51"/>
      <c r="MR30" s="51"/>
      <c r="MS30" s="51"/>
      <c r="MT30" s="51"/>
      <c r="MU30" s="51"/>
      <c r="MV30" s="51"/>
      <c r="MW30" s="51"/>
      <c r="MX30" s="51"/>
      <c r="MY30" s="51"/>
      <c r="MZ30" s="51"/>
      <c r="NA30" s="51"/>
      <c r="NB30" s="51"/>
      <c r="NC30" s="51"/>
      <c r="ND30" s="51"/>
      <c r="NE30" s="51"/>
    </row>
  </sheetData>
  <mergeCells count="18">
    <mergeCell ref="GD4:HH4"/>
    <mergeCell ref="HI4:IM4"/>
    <mergeCell ref="IN4:JQ4"/>
    <mergeCell ref="JR4:KV4"/>
    <mergeCell ref="A2:NE2"/>
    <mergeCell ref="A3:A5"/>
    <mergeCell ref="B3:B5"/>
    <mergeCell ref="C3:C5"/>
    <mergeCell ref="D3:D5"/>
    <mergeCell ref="E3:NE3"/>
    <mergeCell ref="E4:AI4"/>
    <mergeCell ref="AJ4:BK4"/>
    <mergeCell ref="BL4:CP4"/>
    <mergeCell ref="CQ4:DT4"/>
    <mergeCell ref="KW4:LZ4"/>
    <mergeCell ref="MA4:NE4"/>
    <mergeCell ref="DU4:EY4"/>
    <mergeCell ref="EZ4:GC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960CC-A99A-4A47-958B-AA3E2722DF1C}">
  <sheetPr>
    <tabColor theme="4" tint="0.79998168889431442"/>
  </sheetPr>
  <dimension ref="B1:H8"/>
  <sheetViews>
    <sheetView workbookViewId="0">
      <selection activeCell="L153" sqref="L153"/>
    </sheetView>
  </sheetViews>
  <sheetFormatPr defaultColWidth="9.140625" defaultRowHeight="15.75" x14ac:dyDescent="0.25"/>
  <cols>
    <col min="1" max="1" width="2.7109375" style="26" customWidth="1"/>
    <col min="2" max="2" width="5" style="26" customWidth="1"/>
    <col min="3" max="3" width="21.85546875" style="26" customWidth="1"/>
    <col min="4" max="4" width="9.5703125" style="26" customWidth="1"/>
    <col min="5" max="5" width="27.7109375" style="26" customWidth="1"/>
    <col min="6" max="6" width="46.5703125" style="26" customWidth="1"/>
    <col min="7" max="7" width="18.7109375" style="26" customWidth="1"/>
    <col min="8" max="8" width="16.7109375" style="26" customWidth="1"/>
    <col min="9" max="16384" width="9.140625" style="26"/>
  </cols>
  <sheetData>
    <row r="1" spans="2:8" x14ac:dyDescent="0.25">
      <c r="B1" s="230" t="s">
        <v>78</v>
      </c>
      <c r="C1" s="230"/>
      <c r="D1" s="230"/>
      <c r="E1" s="230"/>
      <c r="F1" s="230"/>
      <c r="G1" s="230"/>
      <c r="H1" s="230"/>
    </row>
    <row r="3" spans="2:8" ht="47.25" x14ac:dyDescent="0.25">
      <c r="B3" s="25" t="s">
        <v>11</v>
      </c>
      <c r="C3" s="25" t="s">
        <v>72</v>
      </c>
      <c r="D3" s="25" t="s">
        <v>73</v>
      </c>
      <c r="E3" s="25" t="s">
        <v>74</v>
      </c>
      <c r="F3" s="25" t="s">
        <v>75</v>
      </c>
      <c r="G3" s="25" t="s">
        <v>76</v>
      </c>
      <c r="H3" s="25" t="s">
        <v>77</v>
      </c>
    </row>
    <row r="4" spans="2:8" x14ac:dyDescent="0.25">
      <c r="B4" s="25"/>
      <c r="C4" s="25"/>
      <c r="D4" s="25"/>
      <c r="E4" s="25"/>
      <c r="F4" s="25"/>
      <c r="G4" s="25"/>
      <c r="H4" s="25"/>
    </row>
    <row r="5" spans="2:8" x14ac:dyDescent="0.25">
      <c r="B5" s="25"/>
      <c r="C5" s="25"/>
      <c r="D5" s="25"/>
      <c r="E5" s="25"/>
      <c r="F5" s="25"/>
      <c r="G5" s="25"/>
      <c r="H5" s="25"/>
    </row>
    <row r="6" spans="2:8" x14ac:dyDescent="0.25">
      <c r="B6" s="25"/>
      <c r="C6" s="25"/>
      <c r="D6" s="25"/>
      <c r="E6" s="25"/>
      <c r="F6" s="25"/>
      <c r="G6" s="25"/>
      <c r="H6" s="25"/>
    </row>
    <row r="7" spans="2:8" x14ac:dyDescent="0.25">
      <c r="B7" s="25"/>
      <c r="C7" s="25"/>
      <c r="D7" s="25"/>
      <c r="E7" s="25"/>
      <c r="F7" s="25"/>
      <c r="G7" s="25"/>
      <c r="H7" s="25"/>
    </row>
    <row r="8" spans="2:8" x14ac:dyDescent="0.25">
      <c r="B8" s="25"/>
      <c r="C8" s="25"/>
      <c r="D8" s="25"/>
      <c r="E8" s="25"/>
      <c r="F8" s="25"/>
      <c r="G8" s="25"/>
      <c r="H8" s="25"/>
    </row>
  </sheetData>
  <mergeCells count="1">
    <mergeCell ref="B1:H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Форма КП</vt:lpstr>
      <vt:lpstr>ЛСР №1</vt:lpstr>
      <vt:lpstr>Ведомость ДМ</vt:lpstr>
      <vt:lpstr>ГПР</vt:lpstr>
      <vt:lpstr>Замечания-предложения к РД</vt:lpstr>
      <vt:lpstr>'Ведомость ДМ'!Область_печати</vt:lpstr>
      <vt:lpstr>'Форма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Шушунов Сергей Сергеевич</dc:creator>
  <cp:lastModifiedBy>Шушунов Сергей Сергеевич</cp:lastModifiedBy>
  <cp:lastPrinted>2025-08-27T02:20:27Z</cp:lastPrinted>
  <dcterms:created xsi:type="dcterms:W3CDTF">2015-06-05T18:19:34Z</dcterms:created>
  <dcterms:modified xsi:type="dcterms:W3CDTF">2025-09-29T05:02:12Z</dcterms:modified>
</cp:coreProperties>
</file>